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AGENDA_2020\ORP\SPOLOCNY_ORP\Moderne_TECHNOLOGIE\Na_zverejnenie\"/>
    </mc:Choice>
  </mc:AlternateContent>
  <xr:revisionPtr revIDLastSave="0" documentId="8_{31EC9C49-7A5F-41F2-8AA0-14AEA681E59F}" xr6:coauthVersionLast="45" xr6:coauthVersionMax="45" xr10:uidLastSave="{00000000-0000-0000-0000-000000000000}"/>
  <bookViews>
    <workbookView xWindow="-120" yWindow="-120" windowWidth="29040" windowHeight="15840" tabRatio="838" firstSheet="1" activeTab="11" xr2:uid="{00000000-000D-0000-FFFF-FFFF00000000}"/>
  </bookViews>
  <sheets>
    <sheet name="Úvod" sheetId="5" r:id="rId1"/>
    <sheet name="Zoznam hárkov" sheetId="25" r:id="rId2"/>
    <sheet name="Sumarizácia" sheetId="20" r:id="rId3"/>
    <sheet name="CBA - Agendové IS" sheetId="2" r:id="rId4"/>
    <sheet name="Analyza citlivosti - AgendovéIS" sheetId="7" r:id="rId5"/>
    <sheet name="Prínosy - Agendové IS" sheetId="4" r:id="rId6"/>
    <sheet name="Výdavky - Agendové IS" sheetId="6" r:id="rId7"/>
    <sheet name="Parametre - Agendové IS" sheetId="3" r:id="rId8"/>
    <sheet name="TCO" sheetId="11" r:id="rId9"/>
    <sheet name="TCO AS IS - SW" sheetId="17" r:id="rId10"/>
    <sheet name="TCO AS IS - HW" sheetId="18" r:id="rId11"/>
    <sheet name="TCO TO BE- SW" sheetId="9" r:id="rId12"/>
    <sheet name="TCO TO BE - HW" sheetId="10" r:id="rId13"/>
    <sheet name="Rozpočet - vývoj Aplikácií" sheetId="19" r:id="rId14"/>
    <sheet name="Rozpočet - HW a licencie" sheetId="27" r:id="rId15"/>
    <sheet name="Slepý rozpočet" sheetId="26" r:id="rId16"/>
    <sheet name="Faktory" sheetId="1" r:id="rId17"/>
    <sheet name="Procesné mapy" sheetId="22" r:id="rId18"/>
    <sheet name="Procesy - AS IS" sheetId="23" r:id="rId19"/>
    <sheet name="Procesy - TO BE" sheetId="24" r:id="rId20"/>
    <sheet name="Rozdelenie prínosov" sheetId="14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" i="10" l="1"/>
  <c r="J34" i="10"/>
  <c r="K34" i="10"/>
  <c r="L34" i="10"/>
  <c r="M34" i="10"/>
  <c r="N34" i="10"/>
  <c r="I3" i="10"/>
  <c r="J3" i="10"/>
  <c r="K3" i="10"/>
  <c r="L3" i="10"/>
  <c r="M3" i="10"/>
  <c r="N3" i="10"/>
  <c r="H150" i="9"/>
  <c r="I150" i="9"/>
  <c r="J150" i="9"/>
  <c r="K150" i="9"/>
  <c r="L150" i="9"/>
  <c r="M150" i="9"/>
  <c r="M129" i="9"/>
  <c r="H129" i="9"/>
  <c r="I129" i="9"/>
  <c r="J129" i="9"/>
  <c r="K129" i="9"/>
  <c r="L129" i="9"/>
  <c r="H78" i="9"/>
  <c r="I78" i="9"/>
  <c r="J78" i="9"/>
  <c r="K78" i="9"/>
  <c r="L78" i="9"/>
  <c r="M78" i="9"/>
  <c r="H57" i="9"/>
  <c r="I57" i="9"/>
  <c r="J57" i="9"/>
  <c r="K57" i="9"/>
  <c r="K56" i="9" s="1"/>
  <c r="L57" i="9"/>
  <c r="M57" i="9"/>
  <c r="H25" i="9"/>
  <c r="I25" i="9"/>
  <c r="J25" i="9"/>
  <c r="K25" i="9"/>
  <c r="L25" i="9"/>
  <c r="M25" i="9"/>
  <c r="H4" i="9"/>
  <c r="I4" i="9"/>
  <c r="J4" i="9"/>
  <c r="J3" i="9" s="1"/>
  <c r="K4" i="9"/>
  <c r="K3" i="9" s="1"/>
  <c r="L4" i="9"/>
  <c r="I3" i="9" l="1"/>
  <c r="L3" i="9"/>
  <c r="H3" i="9"/>
  <c r="J56" i="9"/>
  <c r="L56" i="9"/>
  <c r="H56" i="9"/>
  <c r="I56" i="9"/>
  <c r="M56" i="9"/>
  <c r="E138" i="14"/>
  <c r="E137" i="14"/>
  <c r="E136" i="14"/>
  <c r="E135" i="14"/>
  <c r="E134" i="14"/>
  <c r="E133" i="14"/>
  <c r="E132" i="14"/>
  <c r="E131" i="14"/>
  <c r="E130" i="14"/>
  <c r="E129" i="14"/>
  <c r="E128" i="14"/>
  <c r="D128" i="14" s="1"/>
  <c r="E127" i="14"/>
  <c r="D127" i="14" s="1"/>
  <c r="E126" i="14"/>
  <c r="D126" i="14"/>
  <c r="E125" i="14"/>
  <c r="D125" i="14" s="1"/>
  <c r="E124" i="14"/>
  <c r="D124" i="14" s="1"/>
  <c r="E123" i="14"/>
  <c r="D123" i="14" s="1"/>
  <c r="E122" i="14"/>
  <c r="D122" i="14"/>
  <c r="E121" i="14"/>
  <c r="D121" i="14" s="1"/>
  <c r="E120" i="14"/>
  <c r="D120" i="14" s="1"/>
  <c r="E119" i="14"/>
  <c r="D119" i="14" s="1"/>
  <c r="E118" i="14"/>
  <c r="E117" i="14"/>
  <c r="E116" i="14"/>
  <c r="E115" i="14"/>
  <c r="E114" i="14"/>
  <c r="E113" i="14"/>
  <c r="E112" i="14"/>
  <c r="E111" i="14"/>
  <c r="E110" i="14"/>
  <c r="E109" i="14"/>
  <c r="A107" i="14"/>
  <c r="E103" i="14"/>
  <c r="E102" i="14"/>
  <c r="E101" i="14"/>
  <c r="E100" i="14"/>
  <c r="E99" i="14"/>
  <c r="E98" i="14"/>
  <c r="E97" i="14"/>
  <c r="E96" i="14"/>
  <c r="E95" i="14"/>
  <c r="E94" i="14"/>
  <c r="E93" i="14"/>
  <c r="D93" i="14" s="1"/>
  <c r="E92" i="14"/>
  <c r="D92" i="14" s="1"/>
  <c r="E91" i="14"/>
  <c r="D91" i="14"/>
  <c r="E90" i="14"/>
  <c r="D90" i="14" s="1"/>
  <c r="E89" i="14"/>
  <c r="D89" i="14"/>
  <c r="E88" i="14"/>
  <c r="D88" i="14" s="1"/>
  <c r="E87" i="14"/>
  <c r="D87" i="14"/>
  <c r="E86" i="14"/>
  <c r="D86" i="14" s="1"/>
  <c r="E85" i="14"/>
  <c r="D85" i="14" s="1"/>
  <c r="E84" i="14"/>
  <c r="D84" i="14" s="1"/>
  <c r="E83" i="14"/>
  <c r="E82" i="14"/>
  <c r="E81" i="14"/>
  <c r="E80" i="14"/>
  <c r="E79" i="14"/>
  <c r="E78" i="14"/>
  <c r="E77" i="14"/>
  <c r="E76" i="14"/>
  <c r="E75" i="14"/>
  <c r="E74" i="14"/>
  <c r="A72" i="14"/>
  <c r="E68" i="14"/>
  <c r="E67" i="14"/>
  <c r="E66" i="14"/>
  <c r="E65" i="14"/>
  <c r="E64" i="14"/>
  <c r="E63" i="14"/>
  <c r="E62" i="14"/>
  <c r="E61" i="14"/>
  <c r="E60" i="14"/>
  <c r="E59" i="14"/>
  <c r="E58" i="14"/>
  <c r="D58" i="14" s="1"/>
  <c r="E57" i="14"/>
  <c r="D57" i="14" s="1"/>
  <c r="E56" i="14"/>
  <c r="D56" i="14"/>
  <c r="E55" i="14"/>
  <c r="D55" i="14" s="1"/>
  <c r="E54" i="14"/>
  <c r="D54" i="14" s="1"/>
  <c r="E53" i="14"/>
  <c r="D53" i="14" s="1"/>
  <c r="E52" i="14"/>
  <c r="D52" i="14"/>
  <c r="E51" i="14"/>
  <c r="D51" i="14" s="1"/>
  <c r="E50" i="14"/>
  <c r="D50" i="14" s="1"/>
  <c r="E49" i="14"/>
  <c r="D49" i="14" s="1"/>
  <c r="E48" i="14"/>
  <c r="E47" i="14"/>
  <c r="E46" i="14"/>
  <c r="E45" i="14"/>
  <c r="E44" i="14"/>
  <c r="E43" i="14"/>
  <c r="E42" i="14"/>
  <c r="E41" i="14"/>
  <c r="E40" i="14"/>
  <c r="E39" i="14"/>
  <c r="A37" i="14"/>
  <c r="E33" i="14"/>
  <c r="E32" i="14"/>
  <c r="E31" i="14"/>
  <c r="E30" i="14"/>
  <c r="E29" i="14"/>
  <c r="E28" i="14"/>
  <c r="E27" i="14"/>
  <c r="E26" i="14"/>
  <c r="E25" i="14"/>
  <c r="E24" i="14"/>
  <c r="E23" i="14"/>
  <c r="D23" i="14" s="1"/>
  <c r="E22" i="14"/>
  <c r="D22" i="14"/>
  <c r="E21" i="14"/>
  <c r="D21" i="14" s="1"/>
  <c r="E20" i="14"/>
  <c r="D20" i="14" s="1"/>
  <c r="E19" i="14"/>
  <c r="D19" i="14" s="1"/>
  <c r="E18" i="14"/>
  <c r="D18" i="14" s="1"/>
  <c r="E17" i="14"/>
  <c r="D17" i="14" s="1"/>
  <c r="E16" i="14"/>
  <c r="D16" i="14" s="1"/>
  <c r="E15" i="14"/>
  <c r="D15" i="14" s="1"/>
  <c r="E14" i="14"/>
  <c r="D14" i="14"/>
  <c r="E13" i="14"/>
  <c r="E12" i="14"/>
  <c r="E11" i="14"/>
  <c r="E10" i="14"/>
  <c r="E9" i="14"/>
  <c r="E8" i="14"/>
  <c r="E7" i="14"/>
  <c r="E6" i="14"/>
  <c r="E5" i="14"/>
  <c r="E4" i="14"/>
  <c r="A2" i="14"/>
  <c r="D8" i="1"/>
  <c r="AO12" i="26"/>
  <c r="AN12" i="26"/>
  <c r="AM12" i="26"/>
  <c r="AF12" i="26"/>
  <c r="AE12" i="26"/>
  <c r="AD12" i="26"/>
  <c r="AC12" i="26"/>
  <c r="AP11" i="26"/>
  <c r="AH11" i="26"/>
  <c r="AG11" i="26"/>
  <c r="AI11" i="26" s="1"/>
  <c r="AP10" i="26"/>
  <c r="AH10" i="26"/>
  <c r="AG10" i="26"/>
  <c r="AP9" i="26"/>
  <c r="AH9" i="26"/>
  <c r="AG9" i="26"/>
  <c r="AP8" i="26"/>
  <c r="AH8" i="26"/>
  <c r="AG8" i="26"/>
  <c r="AI8" i="26" s="1"/>
  <c r="AP7" i="26"/>
  <c r="AH7" i="26"/>
  <c r="AG7" i="26"/>
  <c r="AI7" i="26" s="1"/>
  <c r="AP6" i="26"/>
  <c r="AP12" i="26" s="1"/>
  <c r="AH6" i="26"/>
  <c r="AG6" i="26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AA46" i="19"/>
  <c r="AG46" i="19" s="1"/>
  <c r="Z46" i="19"/>
  <c r="AF46" i="19" s="1"/>
  <c r="AA44" i="19"/>
  <c r="AG44" i="19" s="1"/>
  <c r="Z44" i="19"/>
  <c r="AF44" i="19" s="1"/>
  <c r="AA43" i="19"/>
  <c r="AG43" i="19" s="1"/>
  <c r="Z43" i="19"/>
  <c r="AF43" i="19" s="1"/>
  <c r="AF42" i="19"/>
  <c r="AA42" i="19"/>
  <c r="AG42" i="19" s="1"/>
  <c r="Z42" i="19"/>
  <c r="AA41" i="19"/>
  <c r="AG41" i="19" s="1"/>
  <c r="Z41" i="19"/>
  <c r="AF41" i="19" s="1"/>
  <c r="AA40" i="19"/>
  <c r="AG40" i="19" s="1"/>
  <c r="Z40" i="19"/>
  <c r="AF40" i="19" s="1"/>
  <c r="AA38" i="19"/>
  <c r="AG38" i="19" s="1"/>
  <c r="Z38" i="19"/>
  <c r="AF38" i="19" s="1"/>
  <c r="AF37" i="19"/>
  <c r="AA37" i="19"/>
  <c r="AG37" i="19" s="1"/>
  <c r="Z37" i="19"/>
  <c r="AA36" i="19"/>
  <c r="AG36" i="19" s="1"/>
  <c r="Z36" i="19"/>
  <c r="AF36" i="19" s="1"/>
  <c r="AA35" i="19"/>
  <c r="AG35" i="19" s="1"/>
  <c r="Z35" i="19"/>
  <c r="AF35" i="19" s="1"/>
  <c r="AA34" i="19"/>
  <c r="AG34" i="19" s="1"/>
  <c r="Z34" i="19"/>
  <c r="AF34" i="19" s="1"/>
  <c r="AA32" i="19"/>
  <c r="AG32" i="19" s="1"/>
  <c r="Z32" i="19"/>
  <c r="AF32" i="19" s="1"/>
  <c r="AA31" i="19"/>
  <c r="AG31" i="19" s="1"/>
  <c r="Z31" i="19"/>
  <c r="AF31" i="19" s="1"/>
  <c r="AA30" i="19"/>
  <c r="AG30" i="19" s="1"/>
  <c r="Z30" i="19"/>
  <c r="AF30" i="19" s="1"/>
  <c r="AA29" i="19"/>
  <c r="AG29" i="19" s="1"/>
  <c r="Z29" i="19"/>
  <c r="AF29" i="19" s="1"/>
  <c r="AA28" i="19"/>
  <c r="AG28" i="19" s="1"/>
  <c r="Z28" i="19"/>
  <c r="AF28" i="19" s="1"/>
  <c r="AF26" i="19"/>
  <c r="AA26" i="19"/>
  <c r="AG26" i="19" s="1"/>
  <c r="Z26" i="19"/>
  <c r="AA25" i="19"/>
  <c r="AG25" i="19" s="1"/>
  <c r="Z25" i="19"/>
  <c r="AF25" i="19" s="1"/>
  <c r="AA24" i="19"/>
  <c r="AG24" i="19" s="1"/>
  <c r="Z24" i="19"/>
  <c r="AF24" i="19" s="1"/>
  <c r="AF23" i="19"/>
  <c r="AA23" i="19"/>
  <c r="AG23" i="19" s="1"/>
  <c r="Z23" i="19"/>
  <c r="AA22" i="19"/>
  <c r="AG22" i="19" s="1"/>
  <c r="Z22" i="19"/>
  <c r="AF22" i="19" s="1"/>
  <c r="AA20" i="19"/>
  <c r="AG20" i="19" s="1"/>
  <c r="Z20" i="19"/>
  <c r="AF20" i="19" s="1"/>
  <c r="AA19" i="19"/>
  <c r="AG19" i="19" s="1"/>
  <c r="Z19" i="19"/>
  <c r="AF19" i="19" s="1"/>
  <c r="AA18" i="19"/>
  <c r="AG18" i="19" s="1"/>
  <c r="Z18" i="19"/>
  <c r="AF18" i="19" s="1"/>
  <c r="AF17" i="19"/>
  <c r="AA17" i="19"/>
  <c r="AG17" i="19" s="1"/>
  <c r="Z17" i="19"/>
  <c r="AA16" i="19"/>
  <c r="AG16" i="19" s="1"/>
  <c r="Z16" i="19"/>
  <c r="AF16" i="19" s="1"/>
  <c r="AA14" i="19"/>
  <c r="AG14" i="19" s="1"/>
  <c r="Z14" i="19"/>
  <c r="AF14" i="19" s="1"/>
  <c r="AF13" i="19"/>
  <c r="AA13" i="19"/>
  <c r="AG13" i="19" s="1"/>
  <c r="Z13" i="19"/>
  <c r="AA12" i="19"/>
  <c r="AG12" i="19" s="1"/>
  <c r="Z12" i="19"/>
  <c r="AF12" i="19" s="1"/>
  <c r="AA11" i="19"/>
  <c r="AG11" i="19" s="1"/>
  <c r="Z11" i="19"/>
  <c r="AF11" i="19" s="1"/>
  <c r="AA10" i="19"/>
  <c r="AG10" i="19" s="1"/>
  <c r="Z10" i="19"/>
  <c r="AF10" i="19" s="1"/>
  <c r="AA8" i="19"/>
  <c r="AG8" i="19" s="1"/>
  <c r="Z8" i="19"/>
  <c r="AF8" i="19" s="1"/>
  <c r="AA7" i="19"/>
  <c r="AG7" i="19" s="1"/>
  <c r="Z7" i="19"/>
  <c r="AF7" i="19" s="1"/>
  <c r="AA6" i="19"/>
  <c r="AG6" i="19" s="1"/>
  <c r="Z6" i="19"/>
  <c r="AF6" i="19" s="1"/>
  <c r="AA5" i="19"/>
  <c r="AG5" i="19" s="1"/>
  <c r="Z5" i="19"/>
  <c r="AF5" i="19" s="1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H13" i="11" s="1"/>
  <c r="E48" i="10"/>
  <c r="E47" i="10"/>
  <c r="E46" i="10"/>
  <c r="E45" i="10"/>
  <c r="E44" i="10"/>
  <c r="E43" i="10"/>
  <c r="E42" i="10"/>
  <c r="E41" i="10"/>
  <c r="J13" i="11" s="1"/>
  <c r="J42" i="11" s="1"/>
  <c r="E40" i="10"/>
  <c r="E39" i="10"/>
  <c r="E38" i="10"/>
  <c r="E37" i="10"/>
  <c r="E36" i="10"/>
  <c r="E35" i="10"/>
  <c r="H34" i="10"/>
  <c r="S12" i="20" s="1"/>
  <c r="G34" i="10"/>
  <c r="R12" i="20" s="1"/>
  <c r="Q12" i="20"/>
  <c r="F34" i="10"/>
  <c r="P12" i="20" s="1"/>
  <c r="E33" i="10"/>
  <c r="E32" i="10"/>
  <c r="E31" i="10"/>
  <c r="E30" i="10"/>
  <c r="E29" i="10"/>
  <c r="E28" i="10"/>
  <c r="E27" i="10"/>
  <c r="E26" i="10"/>
  <c r="E25" i="10"/>
  <c r="E24" i="10"/>
  <c r="E23" i="10"/>
  <c r="M12" i="11" s="1"/>
  <c r="M41" i="11" s="1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G12" i="11" s="1"/>
  <c r="G41" i="11" s="1"/>
  <c r="E6" i="10"/>
  <c r="E5" i="10"/>
  <c r="E4" i="10"/>
  <c r="H3" i="10"/>
  <c r="S8" i="20" s="1"/>
  <c r="G3" i="10"/>
  <c r="R8" i="20" s="1"/>
  <c r="Q8" i="20"/>
  <c r="F3" i="10"/>
  <c r="P8" i="20" s="1"/>
  <c r="E170" i="9"/>
  <c r="E169" i="9"/>
  <c r="E168" i="9"/>
  <c r="E167" i="9"/>
  <c r="E166" i="9"/>
  <c r="E165" i="9"/>
  <c r="E164" i="9"/>
  <c r="E163" i="9"/>
  <c r="F11" i="11" s="1"/>
  <c r="E162" i="9"/>
  <c r="E11" i="11" s="1"/>
  <c r="E40" i="11" s="1"/>
  <c r="E161" i="9"/>
  <c r="E160" i="9"/>
  <c r="E159" i="9"/>
  <c r="L11" i="11" s="1"/>
  <c r="L40" i="11" s="1"/>
  <c r="E158" i="9"/>
  <c r="E157" i="9"/>
  <c r="E156" i="9"/>
  <c r="E155" i="9"/>
  <c r="H11" i="11" s="1"/>
  <c r="H40" i="11" s="1"/>
  <c r="E154" i="9"/>
  <c r="E153" i="9"/>
  <c r="E152" i="9"/>
  <c r="E151" i="9"/>
  <c r="D11" i="11" s="1"/>
  <c r="D40" i="11" s="1"/>
  <c r="T14" i="20"/>
  <c r="S14" i="20"/>
  <c r="G150" i="9"/>
  <c r="F150" i="9"/>
  <c r="P14" i="20" s="1"/>
  <c r="E149" i="9"/>
  <c r="E148" i="9"/>
  <c r="E147" i="9"/>
  <c r="E146" i="9"/>
  <c r="E145" i="9"/>
  <c r="E144" i="9"/>
  <c r="E143" i="9"/>
  <c r="E142" i="9"/>
  <c r="E141" i="9"/>
  <c r="E14" i="11" s="1"/>
  <c r="E43" i="11" s="1"/>
  <c r="E140" i="9"/>
  <c r="E139" i="9"/>
  <c r="E138" i="9"/>
  <c r="L14" i="11" s="1"/>
  <c r="L43" i="11" s="1"/>
  <c r="E137" i="9"/>
  <c r="E136" i="9"/>
  <c r="E135" i="9"/>
  <c r="E134" i="9"/>
  <c r="E133" i="9"/>
  <c r="G14" i="11" s="1"/>
  <c r="G43" i="11" s="1"/>
  <c r="E132" i="9"/>
  <c r="E131" i="9"/>
  <c r="E130" i="9"/>
  <c r="D14" i="11" s="1"/>
  <c r="D43" i="11" s="1"/>
  <c r="G129" i="9"/>
  <c r="R13" i="20" s="1"/>
  <c r="Q13" i="20"/>
  <c r="F129" i="9"/>
  <c r="P13" i="20" s="1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G10" i="11" s="1"/>
  <c r="G39" i="11" s="1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T10" i="20"/>
  <c r="S10" i="20"/>
  <c r="G78" i="9"/>
  <c r="R10" i="20" s="1"/>
  <c r="Q10" i="20"/>
  <c r="F78" i="9"/>
  <c r="P10" i="20" s="1"/>
  <c r="E77" i="9"/>
  <c r="E76" i="9"/>
  <c r="E75" i="9"/>
  <c r="E74" i="9"/>
  <c r="E73" i="9"/>
  <c r="E72" i="9"/>
  <c r="H8" i="11" s="1"/>
  <c r="E71" i="9"/>
  <c r="E70" i="9"/>
  <c r="E69" i="9"/>
  <c r="E68" i="9"/>
  <c r="E67" i="9"/>
  <c r="M8" i="11" s="1"/>
  <c r="E66" i="9"/>
  <c r="L8" i="11" s="1"/>
  <c r="E65" i="9"/>
  <c r="E64" i="9"/>
  <c r="J8" i="11" s="1"/>
  <c r="J37" i="11" s="1"/>
  <c r="E63" i="9"/>
  <c r="E62" i="9"/>
  <c r="E61" i="9"/>
  <c r="E60" i="9"/>
  <c r="F8" i="11" s="1"/>
  <c r="F37" i="11" s="1"/>
  <c r="E59" i="9"/>
  <c r="E8" i="11" s="1"/>
  <c r="E58" i="9"/>
  <c r="S11" i="20"/>
  <c r="G57" i="9"/>
  <c r="R11" i="20" s="1"/>
  <c r="Q11" i="20"/>
  <c r="F57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J9" i="11" s="1"/>
  <c r="J38" i="11" s="1"/>
  <c r="E41" i="9"/>
  <c r="E40" i="9"/>
  <c r="E39" i="9"/>
  <c r="E38" i="9"/>
  <c r="E37" i="9"/>
  <c r="E36" i="9"/>
  <c r="E35" i="9"/>
  <c r="E34" i="9"/>
  <c r="L9" i="11" s="1"/>
  <c r="L38" i="11" s="1"/>
  <c r="E33" i="9"/>
  <c r="E32" i="9"/>
  <c r="E31" i="9"/>
  <c r="E30" i="9"/>
  <c r="H9" i="11" s="1"/>
  <c r="H38" i="11" s="1"/>
  <c r="E29" i="9"/>
  <c r="E28" i="9"/>
  <c r="E27" i="9"/>
  <c r="E26" i="9"/>
  <c r="D9" i="11" s="1"/>
  <c r="D38" i="11" s="1"/>
  <c r="T6" i="20"/>
  <c r="S6" i="20"/>
  <c r="G25" i="9"/>
  <c r="R6" i="20" s="1"/>
  <c r="Q6" i="20"/>
  <c r="F25" i="9"/>
  <c r="P6" i="20" s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K7" i="11" s="1"/>
  <c r="K36" i="11" s="1"/>
  <c r="E11" i="9"/>
  <c r="E10" i="9"/>
  <c r="I7" i="11" s="1"/>
  <c r="I36" i="11" s="1"/>
  <c r="E9" i="9"/>
  <c r="E8" i="9"/>
  <c r="E7" i="9"/>
  <c r="E6" i="9"/>
  <c r="E7" i="11" s="1"/>
  <c r="E36" i="11" s="1"/>
  <c r="E5" i="9"/>
  <c r="M4" i="9"/>
  <c r="M3" i="9" s="1"/>
  <c r="S7" i="20"/>
  <c r="G4" i="9"/>
  <c r="R7" i="20" s="1"/>
  <c r="Q7" i="20"/>
  <c r="F4" i="9"/>
  <c r="E3" i="18"/>
  <c r="E25" i="17"/>
  <c r="E3" i="17" s="1"/>
  <c r="E4" i="17"/>
  <c r="M27" i="11"/>
  <c r="L27" i="11"/>
  <c r="B12" i="6" s="1"/>
  <c r="K27" i="11"/>
  <c r="J27" i="11"/>
  <c r="I27" i="11"/>
  <c r="B9" i="6" s="1"/>
  <c r="H27" i="11"/>
  <c r="B8" i="6" s="1"/>
  <c r="G27" i="11"/>
  <c r="F27" i="11"/>
  <c r="E27" i="11"/>
  <c r="B5" i="6" s="1"/>
  <c r="D27" i="11"/>
  <c r="B4" i="6" s="1"/>
  <c r="M25" i="11"/>
  <c r="L25" i="11"/>
  <c r="K25" i="11"/>
  <c r="H11" i="6" s="1"/>
  <c r="J25" i="11"/>
  <c r="H10" i="6" s="1"/>
  <c r="I25" i="11"/>
  <c r="H25" i="11"/>
  <c r="G25" i="11"/>
  <c r="H7" i="6" s="1"/>
  <c r="F25" i="11"/>
  <c r="H6" i="6" s="1"/>
  <c r="E25" i="11"/>
  <c r="D25" i="11"/>
  <c r="M23" i="11"/>
  <c r="M28" i="11" s="1"/>
  <c r="L23" i="11"/>
  <c r="K23" i="11"/>
  <c r="J23" i="11"/>
  <c r="I23" i="11"/>
  <c r="I28" i="11" s="1"/>
  <c r="H23" i="11"/>
  <c r="H28" i="11" s="1"/>
  <c r="G23" i="11"/>
  <c r="F23" i="11"/>
  <c r="E23" i="11"/>
  <c r="E28" i="11" s="1"/>
  <c r="D23" i="11"/>
  <c r="M14" i="11"/>
  <c r="M43" i="11" s="1"/>
  <c r="K14" i="11"/>
  <c r="K43" i="11" s="1"/>
  <c r="I14" i="11"/>
  <c r="I43" i="11" s="1"/>
  <c r="H14" i="11"/>
  <c r="H43" i="11" s="1"/>
  <c r="M11" i="11"/>
  <c r="M40" i="11" s="1"/>
  <c r="K11" i="11"/>
  <c r="K40" i="11" s="1"/>
  <c r="I11" i="11"/>
  <c r="I40" i="11" s="1"/>
  <c r="D10" i="11"/>
  <c r="D39" i="11" s="1"/>
  <c r="M9" i="11"/>
  <c r="M38" i="11" s="1"/>
  <c r="G9" i="11"/>
  <c r="G38" i="11" s="1"/>
  <c r="K8" i="11"/>
  <c r="K37" i="11" s="1"/>
  <c r="G8" i="11"/>
  <c r="G37" i="11" s="1"/>
  <c r="M7" i="11"/>
  <c r="M36" i="11" s="1"/>
  <c r="J7" i="11"/>
  <c r="J36" i="11" s="1"/>
  <c r="H7" i="11"/>
  <c r="G7" i="11"/>
  <c r="G36" i="11" s="1"/>
  <c r="P136" i="3"/>
  <c r="M136" i="3"/>
  <c r="J136" i="3"/>
  <c r="G136" i="3"/>
  <c r="D136" i="3" s="1"/>
  <c r="K13" i="4" s="1"/>
  <c r="P135" i="3"/>
  <c r="M135" i="3"/>
  <c r="J135" i="3"/>
  <c r="G135" i="3"/>
  <c r="P134" i="3"/>
  <c r="M134" i="3"/>
  <c r="J134" i="3"/>
  <c r="G134" i="3"/>
  <c r="P133" i="3"/>
  <c r="M133" i="3"/>
  <c r="J133" i="3"/>
  <c r="G133" i="3"/>
  <c r="D133" i="3" s="1"/>
  <c r="K10" i="4" s="1"/>
  <c r="P132" i="3"/>
  <c r="M132" i="3"/>
  <c r="J132" i="3"/>
  <c r="G132" i="3"/>
  <c r="P131" i="3"/>
  <c r="M131" i="3"/>
  <c r="J131" i="3"/>
  <c r="D131" i="3" s="1"/>
  <c r="K8" i="4" s="1"/>
  <c r="G131" i="3"/>
  <c r="P130" i="3"/>
  <c r="M130" i="3"/>
  <c r="J130" i="3"/>
  <c r="G130" i="3"/>
  <c r="P129" i="3"/>
  <c r="M129" i="3"/>
  <c r="J129" i="3"/>
  <c r="G129" i="3"/>
  <c r="P128" i="3"/>
  <c r="M128" i="3"/>
  <c r="J128" i="3"/>
  <c r="G128" i="3"/>
  <c r="S127" i="3"/>
  <c r="N136" i="3" s="1"/>
  <c r="P127" i="3"/>
  <c r="M127" i="3"/>
  <c r="D127" i="3" s="1"/>
  <c r="K4" i="4" s="1"/>
  <c r="J127" i="3"/>
  <c r="G127" i="3"/>
  <c r="Q126" i="3"/>
  <c r="R126" i="3" s="1"/>
  <c r="P126" i="3"/>
  <c r="N126" i="3"/>
  <c r="M126" i="3"/>
  <c r="K126" i="3"/>
  <c r="J126" i="3"/>
  <c r="H126" i="3"/>
  <c r="G126" i="3"/>
  <c r="Q125" i="3"/>
  <c r="R125" i="3" s="1"/>
  <c r="P125" i="3"/>
  <c r="N125" i="3"/>
  <c r="M125" i="3"/>
  <c r="K125" i="3"/>
  <c r="L125" i="3" s="1"/>
  <c r="J125" i="3"/>
  <c r="H125" i="3"/>
  <c r="I125" i="3" s="1"/>
  <c r="G125" i="3"/>
  <c r="D125" i="3" s="1"/>
  <c r="Q124" i="3"/>
  <c r="P124" i="3"/>
  <c r="N124" i="3"/>
  <c r="M124" i="3"/>
  <c r="K124" i="3"/>
  <c r="J124" i="3"/>
  <c r="D124" i="3" s="1"/>
  <c r="B11" i="4" s="1"/>
  <c r="Q11" i="4" s="1"/>
  <c r="H124" i="3"/>
  <c r="G124" i="3"/>
  <c r="Q123" i="3"/>
  <c r="P123" i="3"/>
  <c r="N123" i="3"/>
  <c r="O123" i="3" s="1"/>
  <c r="M123" i="3"/>
  <c r="K123" i="3"/>
  <c r="L123" i="3" s="1"/>
  <c r="J123" i="3"/>
  <c r="H123" i="3"/>
  <c r="G123" i="3"/>
  <c r="Q122" i="3"/>
  <c r="P122" i="3"/>
  <c r="R122" i="3" s="1"/>
  <c r="N122" i="3"/>
  <c r="M122" i="3"/>
  <c r="K122" i="3"/>
  <c r="J122" i="3"/>
  <c r="H122" i="3"/>
  <c r="G122" i="3"/>
  <c r="Q121" i="3"/>
  <c r="P121" i="3"/>
  <c r="N121" i="3"/>
  <c r="M121" i="3"/>
  <c r="K121" i="3"/>
  <c r="J121" i="3"/>
  <c r="D121" i="3" s="1"/>
  <c r="H121" i="3"/>
  <c r="I121" i="3" s="1"/>
  <c r="G121" i="3"/>
  <c r="E121" i="3"/>
  <c r="C8" i="4" s="1"/>
  <c r="R8" i="4" s="1"/>
  <c r="Q120" i="3"/>
  <c r="P120" i="3"/>
  <c r="N120" i="3"/>
  <c r="M120" i="3"/>
  <c r="D120" i="3" s="1"/>
  <c r="K120" i="3"/>
  <c r="L120" i="3" s="1"/>
  <c r="J120" i="3"/>
  <c r="H120" i="3"/>
  <c r="G120" i="3"/>
  <c r="Q119" i="3"/>
  <c r="P119" i="3"/>
  <c r="N119" i="3"/>
  <c r="O119" i="3" s="1"/>
  <c r="M119" i="3"/>
  <c r="K119" i="3"/>
  <c r="L119" i="3" s="1"/>
  <c r="J119" i="3"/>
  <c r="H119" i="3"/>
  <c r="G119" i="3"/>
  <c r="R118" i="3"/>
  <c r="Q118" i="3"/>
  <c r="P118" i="3"/>
  <c r="N118" i="3"/>
  <c r="M118" i="3"/>
  <c r="K118" i="3"/>
  <c r="E118" i="3" s="1"/>
  <c r="J118" i="3"/>
  <c r="H118" i="3"/>
  <c r="G118" i="3"/>
  <c r="D118" i="3" s="1"/>
  <c r="B5" i="4" s="1"/>
  <c r="Q5" i="4" s="1"/>
  <c r="Q117" i="3"/>
  <c r="P117" i="3"/>
  <c r="N117" i="3"/>
  <c r="M117" i="3"/>
  <c r="K117" i="3"/>
  <c r="J117" i="3"/>
  <c r="L117" i="3" s="1"/>
  <c r="H117" i="3"/>
  <c r="G117" i="3"/>
  <c r="Q116" i="3"/>
  <c r="N116" i="3"/>
  <c r="K116" i="3"/>
  <c r="H116" i="3"/>
  <c r="Q115" i="3"/>
  <c r="N115" i="3"/>
  <c r="K115" i="3"/>
  <c r="L115" i="3" s="1"/>
  <c r="H115" i="3"/>
  <c r="Q114" i="3"/>
  <c r="N114" i="3"/>
  <c r="K114" i="3"/>
  <c r="H114" i="3"/>
  <c r="Q113" i="3"/>
  <c r="N113" i="3"/>
  <c r="K113" i="3"/>
  <c r="H113" i="3"/>
  <c r="Q112" i="3"/>
  <c r="N112" i="3"/>
  <c r="K112" i="3"/>
  <c r="H112" i="3"/>
  <c r="Q111" i="3"/>
  <c r="N111" i="3"/>
  <c r="K111" i="3"/>
  <c r="H111" i="3"/>
  <c r="Q110" i="3"/>
  <c r="N110" i="3"/>
  <c r="K110" i="3"/>
  <c r="H110" i="3"/>
  <c r="Q109" i="3"/>
  <c r="N109" i="3"/>
  <c r="K109" i="3"/>
  <c r="E109" i="3" s="1"/>
  <c r="R6" i="6" s="1"/>
  <c r="H109" i="3"/>
  <c r="D106" i="3"/>
  <c r="D105" i="3"/>
  <c r="D104" i="3"/>
  <c r="D103" i="3"/>
  <c r="D102" i="3"/>
  <c r="D101" i="3"/>
  <c r="D100" i="3"/>
  <c r="D99" i="3"/>
  <c r="D98" i="3"/>
  <c r="D97" i="3"/>
  <c r="Q96" i="3"/>
  <c r="P96" i="3"/>
  <c r="N96" i="3"/>
  <c r="D83" i="14" s="1"/>
  <c r="M96" i="3"/>
  <c r="O96" i="3" s="1"/>
  <c r="K96" i="3"/>
  <c r="J96" i="3"/>
  <c r="D96" i="3" s="1"/>
  <c r="H96" i="3"/>
  <c r="I96" i="3" s="1"/>
  <c r="G96" i="3"/>
  <c r="Q95" i="3"/>
  <c r="R95" i="3" s="1"/>
  <c r="P95" i="3"/>
  <c r="N95" i="3"/>
  <c r="M95" i="3"/>
  <c r="K95" i="3"/>
  <c r="L95" i="3" s="1"/>
  <c r="J95" i="3"/>
  <c r="H95" i="3"/>
  <c r="G95" i="3"/>
  <c r="D95" i="3" s="1"/>
  <c r="Q94" i="3"/>
  <c r="D116" i="14" s="1"/>
  <c r="P94" i="3"/>
  <c r="N94" i="3"/>
  <c r="D81" i="14" s="1"/>
  <c r="M94" i="3"/>
  <c r="K94" i="3"/>
  <c r="D46" i="14" s="1"/>
  <c r="J94" i="3"/>
  <c r="H94" i="3"/>
  <c r="G94" i="3"/>
  <c r="D94" i="3" s="1"/>
  <c r="Q93" i="3"/>
  <c r="R93" i="3" s="1"/>
  <c r="P93" i="3"/>
  <c r="N93" i="3"/>
  <c r="O93" i="3" s="1"/>
  <c r="M93" i="3"/>
  <c r="L93" i="3"/>
  <c r="K93" i="3"/>
  <c r="J93" i="3"/>
  <c r="H93" i="3"/>
  <c r="G93" i="3"/>
  <c r="D93" i="3" s="1"/>
  <c r="Q92" i="3"/>
  <c r="P92" i="3"/>
  <c r="O92" i="3"/>
  <c r="N92" i="3"/>
  <c r="M92" i="3"/>
  <c r="K92" i="3"/>
  <c r="J92" i="3"/>
  <c r="H92" i="3"/>
  <c r="G92" i="3"/>
  <c r="Q91" i="3"/>
  <c r="P91" i="3"/>
  <c r="N91" i="3"/>
  <c r="O91" i="3" s="1"/>
  <c r="M91" i="3"/>
  <c r="K91" i="3"/>
  <c r="J91" i="3"/>
  <c r="H91" i="3"/>
  <c r="I91" i="3" s="1"/>
  <c r="G91" i="3"/>
  <c r="Q90" i="3"/>
  <c r="D112" i="14" s="1"/>
  <c r="P90" i="3"/>
  <c r="N90" i="3"/>
  <c r="D77" i="14" s="1"/>
  <c r="M90" i="3"/>
  <c r="K90" i="3"/>
  <c r="D42" i="14" s="1"/>
  <c r="J90" i="3"/>
  <c r="H90" i="3"/>
  <c r="G90" i="3"/>
  <c r="E90" i="3"/>
  <c r="Q89" i="3"/>
  <c r="R89" i="3" s="1"/>
  <c r="P89" i="3"/>
  <c r="N89" i="3"/>
  <c r="M89" i="3"/>
  <c r="K89" i="3"/>
  <c r="J89" i="3"/>
  <c r="L89" i="3" s="1"/>
  <c r="H89" i="3"/>
  <c r="D6" i="14" s="1"/>
  <c r="G89" i="3"/>
  <c r="Q88" i="3"/>
  <c r="P88" i="3"/>
  <c r="O88" i="3"/>
  <c r="N88" i="3"/>
  <c r="M88" i="3"/>
  <c r="K88" i="3"/>
  <c r="J88" i="3"/>
  <c r="H88" i="3"/>
  <c r="G88" i="3"/>
  <c r="Q87" i="3"/>
  <c r="R87" i="3" s="1"/>
  <c r="P87" i="3"/>
  <c r="N87" i="3"/>
  <c r="M87" i="3"/>
  <c r="K87" i="3"/>
  <c r="L87" i="3" s="1"/>
  <c r="J87" i="3"/>
  <c r="H87" i="3"/>
  <c r="G87" i="3"/>
  <c r="D87" i="3" s="1"/>
  <c r="P86" i="3"/>
  <c r="J85" i="3"/>
  <c r="J84" i="3"/>
  <c r="M81" i="3"/>
  <c r="M80" i="3"/>
  <c r="J79" i="3"/>
  <c r="P76" i="3"/>
  <c r="M76" i="3"/>
  <c r="J76" i="3"/>
  <c r="G76" i="3"/>
  <c r="P75" i="3"/>
  <c r="M75" i="3"/>
  <c r="J75" i="3"/>
  <c r="G75" i="3"/>
  <c r="P74" i="3"/>
  <c r="M74" i="3"/>
  <c r="J74" i="3"/>
  <c r="G74" i="3"/>
  <c r="P73" i="3"/>
  <c r="M73" i="3"/>
  <c r="J73" i="3"/>
  <c r="G73" i="3"/>
  <c r="D73" i="3"/>
  <c r="P72" i="3"/>
  <c r="M72" i="3"/>
  <c r="J72" i="3"/>
  <c r="G72" i="3"/>
  <c r="D72" i="3" s="1"/>
  <c r="P71" i="3"/>
  <c r="M71" i="3"/>
  <c r="J71" i="3"/>
  <c r="G71" i="3"/>
  <c r="P70" i="3"/>
  <c r="M70" i="3"/>
  <c r="J70" i="3"/>
  <c r="G70" i="3"/>
  <c r="P69" i="3"/>
  <c r="M69" i="3"/>
  <c r="J69" i="3"/>
  <c r="G69" i="3"/>
  <c r="D69" i="3" s="1"/>
  <c r="P68" i="3"/>
  <c r="M68" i="3"/>
  <c r="J68" i="3"/>
  <c r="G68" i="3"/>
  <c r="S67" i="3"/>
  <c r="K76" i="3" s="1"/>
  <c r="P67" i="3"/>
  <c r="M67" i="3"/>
  <c r="J67" i="3"/>
  <c r="G67" i="3"/>
  <c r="R65" i="3"/>
  <c r="O65" i="3"/>
  <c r="L65" i="3"/>
  <c r="I65" i="3"/>
  <c r="F65" i="3"/>
  <c r="E65" i="3"/>
  <c r="D65" i="3"/>
  <c r="R64" i="3"/>
  <c r="O64" i="3"/>
  <c r="F64" i="3" s="1"/>
  <c r="L64" i="3"/>
  <c r="I64" i="3"/>
  <c r="E64" i="3"/>
  <c r="D64" i="3"/>
  <c r="R63" i="3"/>
  <c r="O63" i="3"/>
  <c r="L63" i="3"/>
  <c r="I63" i="3"/>
  <c r="E63" i="3"/>
  <c r="D63" i="3"/>
  <c r="R62" i="3"/>
  <c r="O62" i="3"/>
  <c r="L62" i="3"/>
  <c r="I62" i="3"/>
  <c r="E62" i="3"/>
  <c r="D62" i="3"/>
  <c r="R61" i="3"/>
  <c r="O61" i="3"/>
  <c r="L61" i="3"/>
  <c r="I61" i="3"/>
  <c r="F61" i="3" s="1"/>
  <c r="E61" i="3"/>
  <c r="D61" i="3"/>
  <c r="R60" i="3"/>
  <c r="O60" i="3"/>
  <c r="L60" i="3"/>
  <c r="I60" i="3"/>
  <c r="E60" i="3"/>
  <c r="D60" i="3"/>
  <c r="R59" i="3"/>
  <c r="O59" i="3"/>
  <c r="L59" i="3"/>
  <c r="F59" i="3" s="1"/>
  <c r="I59" i="3"/>
  <c r="E59" i="3"/>
  <c r="D59" i="3"/>
  <c r="R58" i="3"/>
  <c r="O58" i="3"/>
  <c r="L58" i="3"/>
  <c r="I58" i="3"/>
  <c r="E58" i="3"/>
  <c r="D58" i="3"/>
  <c r="R57" i="3"/>
  <c r="O57" i="3"/>
  <c r="L57" i="3"/>
  <c r="I57" i="3"/>
  <c r="E57" i="3"/>
  <c r="D57" i="3"/>
  <c r="R56" i="3"/>
  <c r="O56" i="3"/>
  <c r="L56" i="3"/>
  <c r="I56" i="3"/>
  <c r="E56" i="3"/>
  <c r="D56" i="3"/>
  <c r="R55" i="3"/>
  <c r="O55" i="3"/>
  <c r="L55" i="3"/>
  <c r="I55" i="3"/>
  <c r="E55" i="3"/>
  <c r="D55" i="3"/>
  <c r="F55" i="3" s="1"/>
  <c r="R54" i="3"/>
  <c r="O54" i="3"/>
  <c r="L54" i="3"/>
  <c r="I54" i="3"/>
  <c r="E54" i="3"/>
  <c r="D54" i="3"/>
  <c r="R53" i="3"/>
  <c r="O53" i="3"/>
  <c r="L53" i="3"/>
  <c r="I53" i="3"/>
  <c r="E53" i="3"/>
  <c r="D53" i="3"/>
  <c r="F53" i="3" s="1"/>
  <c r="R52" i="3"/>
  <c r="O52" i="3"/>
  <c r="L52" i="3"/>
  <c r="I52" i="3"/>
  <c r="E52" i="3"/>
  <c r="F52" i="3" s="1"/>
  <c r="D52" i="3"/>
  <c r="R51" i="3"/>
  <c r="O51" i="3"/>
  <c r="L51" i="3"/>
  <c r="I51" i="3"/>
  <c r="E51" i="3"/>
  <c r="D51" i="3"/>
  <c r="F51" i="3" s="1"/>
  <c r="R50" i="3"/>
  <c r="O50" i="3"/>
  <c r="L50" i="3"/>
  <c r="I50" i="3"/>
  <c r="E50" i="3"/>
  <c r="D50" i="3"/>
  <c r="R49" i="3"/>
  <c r="O49" i="3"/>
  <c r="L49" i="3"/>
  <c r="I49" i="3"/>
  <c r="E49" i="3"/>
  <c r="D49" i="3"/>
  <c r="F49" i="3" s="1"/>
  <c r="R48" i="3"/>
  <c r="O48" i="3"/>
  <c r="L48" i="3"/>
  <c r="I48" i="3"/>
  <c r="E48" i="3"/>
  <c r="D48" i="3"/>
  <c r="R47" i="3"/>
  <c r="O47" i="3"/>
  <c r="L47" i="3"/>
  <c r="I47" i="3"/>
  <c r="E47" i="3"/>
  <c r="D47" i="3"/>
  <c r="F47" i="3" s="1"/>
  <c r="S46" i="3"/>
  <c r="R46" i="3"/>
  <c r="O46" i="3"/>
  <c r="L46" i="3"/>
  <c r="I46" i="3"/>
  <c r="E46" i="3"/>
  <c r="D46" i="3"/>
  <c r="F46" i="3" s="1"/>
  <c r="R45" i="3"/>
  <c r="O45" i="3"/>
  <c r="L45" i="3"/>
  <c r="I45" i="3"/>
  <c r="R44" i="3"/>
  <c r="O44" i="3"/>
  <c r="L44" i="3"/>
  <c r="I44" i="3"/>
  <c r="R43" i="3"/>
  <c r="O43" i="3"/>
  <c r="L43" i="3"/>
  <c r="I43" i="3"/>
  <c r="R42" i="3"/>
  <c r="O42" i="3"/>
  <c r="L42" i="3"/>
  <c r="I42" i="3"/>
  <c r="R41" i="3"/>
  <c r="O41" i="3"/>
  <c r="L41" i="3"/>
  <c r="I41" i="3"/>
  <c r="R40" i="3"/>
  <c r="O40" i="3"/>
  <c r="L40" i="3"/>
  <c r="I40" i="3"/>
  <c r="R39" i="3"/>
  <c r="O39" i="3"/>
  <c r="L39" i="3"/>
  <c r="I39" i="3"/>
  <c r="R38" i="3"/>
  <c r="O38" i="3"/>
  <c r="L38" i="3"/>
  <c r="I38" i="3"/>
  <c r="R37" i="3"/>
  <c r="O37" i="3"/>
  <c r="L37" i="3"/>
  <c r="I37" i="3"/>
  <c r="S36" i="3"/>
  <c r="R36" i="3"/>
  <c r="O36" i="3"/>
  <c r="L36" i="3"/>
  <c r="I36" i="3"/>
  <c r="R35" i="3"/>
  <c r="O35" i="3"/>
  <c r="L35" i="3"/>
  <c r="I35" i="3"/>
  <c r="R34" i="3"/>
  <c r="O34" i="3"/>
  <c r="L34" i="3"/>
  <c r="I34" i="3"/>
  <c r="R33" i="3"/>
  <c r="O33" i="3"/>
  <c r="L33" i="3"/>
  <c r="I33" i="3"/>
  <c r="R32" i="3"/>
  <c r="O32" i="3"/>
  <c r="L32" i="3"/>
  <c r="I32" i="3"/>
  <c r="R31" i="3"/>
  <c r="O31" i="3"/>
  <c r="L31" i="3"/>
  <c r="I31" i="3"/>
  <c r="R30" i="3"/>
  <c r="O30" i="3"/>
  <c r="L30" i="3"/>
  <c r="I30" i="3"/>
  <c r="R29" i="3"/>
  <c r="O29" i="3"/>
  <c r="L29" i="3"/>
  <c r="I29" i="3"/>
  <c r="R28" i="3"/>
  <c r="O28" i="3"/>
  <c r="L28" i="3"/>
  <c r="I28" i="3"/>
  <c r="R27" i="3"/>
  <c r="O27" i="3"/>
  <c r="L27" i="3"/>
  <c r="I27" i="3"/>
  <c r="R26" i="3"/>
  <c r="O26" i="3"/>
  <c r="L26" i="3"/>
  <c r="I26" i="3"/>
  <c r="P25" i="3"/>
  <c r="P116" i="3" s="1"/>
  <c r="M25" i="3"/>
  <c r="J25" i="3"/>
  <c r="J116" i="3" s="1"/>
  <c r="L116" i="3" s="1"/>
  <c r="G25" i="3"/>
  <c r="P24" i="3"/>
  <c r="R24" i="3" s="1"/>
  <c r="O24" i="3"/>
  <c r="M24" i="3"/>
  <c r="M115" i="3" s="1"/>
  <c r="J24" i="3"/>
  <c r="J115" i="3" s="1"/>
  <c r="G24" i="3"/>
  <c r="P23" i="3"/>
  <c r="P114" i="3" s="1"/>
  <c r="R114" i="3" s="1"/>
  <c r="M23" i="3"/>
  <c r="M114" i="3" s="1"/>
  <c r="J23" i="3"/>
  <c r="L23" i="3" s="1"/>
  <c r="G23" i="3"/>
  <c r="P22" i="3"/>
  <c r="R22" i="3" s="1"/>
  <c r="O22" i="3"/>
  <c r="M22" i="3"/>
  <c r="M113" i="3" s="1"/>
  <c r="J22" i="3"/>
  <c r="J113" i="3" s="1"/>
  <c r="L113" i="3" s="1"/>
  <c r="G22" i="3"/>
  <c r="G113" i="3" s="1"/>
  <c r="P21" i="3"/>
  <c r="R21" i="3" s="1"/>
  <c r="O21" i="3"/>
  <c r="M21" i="3"/>
  <c r="M112" i="3" s="1"/>
  <c r="J21" i="3"/>
  <c r="J112" i="3" s="1"/>
  <c r="G21" i="3"/>
  <c r="P20" i="3"/>
  <c r="P111" i="3" s="1"/>
  <c r="R111" i="3" s="1"/>
  <c r="O20" i="3"/>
  <c r="M20" i="3"/>
  <c r="M111" i="3" s="1"/>
  <c r="J20" i="3"/>
  <c r="L20" i="3" s="1"/>
  <c r="I20" i="3"/>
  <c r="G20" i="3"/>
  <c r="G111" i="3" s="1"/>
  <c r="P19" i="3"/>
  <c r="P110" i="3" s="1"/>
  <c r="M19" i="3"/>
  <c r="M110" i="3" s="1"/>
  <c r="J19" i="3"/>
  <c r="L19" i="3" s="1"/>
  <c r="G19" i="3"/>
  <c r="P18" i="3"/>
  <c r="O18" i="3"/>
  <c r="M18" i="3"/>
  <c r="M109" i="3" s="1"/>
  <c r="J18" i="3"/>
  <c r="G18" i="3"/>
  <c r="G109" i="3" s="1"/>
  <c r="P17" i="3"/>
  <c r="M17" i="3"/>
  <c r="J17" i="3"/>
  <c r="G17" i="3"/>
  <c r="G108" i="3" s="1"/>
  <c r="P16" i="3"/>
  <c r="M16" i="3"/>
  <c r="J16" i="3"/>
  <c r="G16" i="3"/>
  <c r="G107" i="3" s="1"/>
  <c r="R15" i="3"/>
  <c r="O15" i="3"/>
  <c r="L15" i="3"/>
  <c r="I15" i="3"/>
  <c r="E15" i="3"/>
  <c r="D15" i="3"/>
  <c r="R14" i="3"/>
  <c r="O14" i="3"/>
  <c r="L14" i="3"/>
  <c r="I14" i="3"/>
  <c r="F14" i="3" s="1"/>
  <c r="E14" i="3"/>
  <c r="D14" i="3"/>
  <c r="R13" i="3"/>
  <c r="O13" i="3"/>
  <c r="L13" i="3"/>
  <c r="I13" i="3"/>
  <c r="E13" i="3"/>
  <c r="D13" i="3"/>
  <c r="R12" i="3"/>
  <c r="O12" i="3"/>
  <c r="L12" i="3"/>
  <c r="I12" i="3"/>
  <c r="F12" i="3" s="1"/>
  <c r="E12" i="3"/>
  <c r="D12" i="3"/>
  <c r="R11" i="3"/>
  <c r="O11" i="3"/>
  <c r="L11" i="3"/>
  <c r="I11" i="3"/>
  <c r="E11" i="3"/>
  <c r="D11" i="3"/>
  <c r="R10" i="3"/>
  <c r="O10" i="3"/>
  <c r="L10" i="3"/>
  <c r="I10" i="3"/>
  <c r="E10" i="3"/>
  <c r="D10" i="3"/>
  <c r="R9" i="3"/>
  <c r="O9" i="3"/>
  <c r="L9" i="3"/>
  <c r="I9" i="3"/>
  <c r="E9" i="3"/>
  <c r="D9" i="3"/>
  <c r="R8" i="3"/>
  <c r="O8" i="3"/>
  <c r="L8" i="3"/>
  <c r="F8" i="3" s="1"/>
  <c r="I8" i="3"/>
  <c r="E8" i="3"/>
  <c r="D8" i="3"/>
  <c r="R7" i="3"/>
  <c r="O7" i="3"/>
  <c r="L7" i="3"/>
  <c r="F7" i="3" s="1"/>
  <c r="I7" i="3"/>
  <c r="E7" i="3"/>
  <c r="D7" i="3"/>
  <c r="R6" i="3"/>
  <c r="O6" i="3"/>
  <c r="L6" i="3"/>
  <c r="I6" i="3"/>
  <c r="E6" i="3"/>
  <c r="D6" i="3"/>
  <c r="P4" i="3"/>
  <c r="M4" i="3"/>
  <c r="J4" i="3"/>
  <c r="G4" i="3"/>
  <c r="P3" i="3"/>
  <c r="M3" i="3"/>
  <c r="J3" i="3"/>
  <c r="G3" i="3"/>
  <c r="N14" i="6"/>
  <c r="K14" i="6"/>
  <c r="O13" i="6"/>
  <c r="P13" i="6" s="1"/>
  <c r="H13" i="6"/>
  <c r="B13" i="6"/>
  <c r="O12" i="6"/>
  <c r="P12" i="6" s="1"/>
  <c r="H12" i="6"/>
  <c r="L11" i="6"/>
  <c r="M11" i="6" s="1"/>
  <c r="E11" i="6"/>
  <c r="B11" i="6"/>
  <c r="E10" i="6"/>
  <c r="B10" i="6"/>
  <c r="H9" i="6"/>
  <c r="H8" i="6"/>
  <c r="E7" i="6"/>
  <c r="B7" i="6"/>
  <c r="E6" i="6"/>
  <c r="B6" i="6"/>
  <c r="W5" i="6"/>
  <c r="O5" i="6"/>
  <c r="P5" i="6" s="1"/>
  <c r="H5" i="6"/>
  <c r="W4" i="6"/>
  <c r="H4" i="6"/>
  <c r="H14" i="4"/>
  <c r="F14" i="4"/>
  <c r="E14" i="4"/>
  <c r="G13" i="4"/>
  <c r="G12" i="4"/>
  <c r="B12" i="4"/>
  <c r="Q12" i="4" s="1"/>
  <c r="G11" i="4"/>
  <c r="G10" i="4"/>
  <c r="G9" i="4"/>
  <c r="G8" i="4"/>
  <c r="B8" i="4"/>
  <c r="Q8" i="4" s="1"/>
  <c r="G7" i="4"/>
  <c r="B7" i="4"/>
  <c r="Q7" i="4" s="1"/>
  <c r="G6" i="4"/>
  <c r="G5" i="4"/>
  <c r="C5" i="4"/>
  <c r="R5" i="4" s="1"/>
  <c r="G4" i="4"/>
  <c r="R14" i="20"/>
  <c r="Q14" i="20"/>
  <c r="H14" i="20"/>
  <c r="G14" i="20"/>
  <c r="F14" i="20"/>
  <c r="E14" i="20"/>
  <c r="D14" i="20"/>
  <c r="T13" i="20"/>
  <c r="S13" i="20"/>
  <c r="H13" i="20"/>
  <c r="G13" i="20"/>
  <c r="F13" i="20"/>
  <c r="E13" i="20"/>
  <c r="D13" i="20"/>
  <c r="G12" i="20"/>
  <c r="F12" i="20"/>
  <c r="E12" i="20"/>
  <c r="D12" i="20"/>
  <c r="H11" i="20"/>
  <c r="G11" i="20"/>
  <c r="F11" i="20"/>
  <c r="E11" i="20"/>
  <c r="D11" i="20"/>
  <c r="H10" i="20"/>
  <c r="G10" i="20"/>
  <c r="F10" i="20"/>
  <c r="E10" i="20"/>
  <c r="D10" i="20"/>
  <c r="G8" i="20"/>
  <c r="F8" i="20"/>
  <c r="E8" i="20"/>
  <c r="D8" i="20"/>
  <c r="H7" i="20"/>
  <c r="G7" i="20"/>
  <c r="F7" i="20"/>
  <c r="E7" i="20"/>
  <c r="D7" i="20"/>
  <c r="H6" i="20"/>
  <c r="G6" i="20"/>
  <c r="F6" i="20"/>
  <c r="E6" i="20"/>
  <c r="D6" i="20"/>
  <c r="G2" i="20"/>
  <c r="S2" i="20" s="1"/>
  <c r="F2" i="20"/>
  <c r="R2" i="20" s="1"/>
  <c r="E2" i="20"/>
  <c r="Q2" i="20" s="1"/>
  <c r="D2" i="20"/>
  <c r="P2" i="20" s="1"/>
  <c r="S5" i="4" l="1"/>
  <c r="G114" i="3"/>
  <c r="I23" i="3"/>
  <c r="G115" i="3"/>
  <c r="I115" i="3" s="1"/>
  <c r="I24" i="3"/>
  <c r="D28" i="11"/>
  <c r="E4" i="6"/>
  <c r="L28" i="11"/>
  <c r="E12" i="6"/>
  <c r="B14" i="6"/>
  <c r="E8" i="6"/>
  <c r="J107" i="3"/>
  <c r="K16" i="3"/>
  <c r="J108" i="3"/>
  <c r="K17" i="3"/>
  <c r="L37" i="11"/>
  <c r="G14" i="4"/>
  <c r="U18" i="20" s="1"/>
  <c r="I18" i="3"/>
  <c r="O19" i="3"/>
  <c r="G112" i="3"/>
  <c r="I112" i="3" s="1"/>
  <c r="I21" i="3"/>
  <c r="S8" i="4"/>
  <c r="M86" i="3"/>
  <c r="M85" i="3"/>
  <c r="P84" i="3"/>
  <c r="P83" i="3"/>
  <c r="P82" i="3"/>
  <c r="P81" i="3"/>
  <c r="G80" i="3"/>
  <c r="D80" i="3" s="1"/>
  <c r="N7" i="4" s="1"/>
  <c r="G79" i="3"/>
  <c r="G78" i="3"/>
  <c r="G77" i="3"/>
  <c r="J86" i="3"/>
  <c r="G85" i="3"/>
  <c r="G84" i="3"/>
  <c r="M82" i="3"/>
  <c r="D82" i="3" s="1"/>
  <c r="N9" i="4" s="1"/>
  <c r="T9" i="4" s="1"/>
  <c r="J81" i="3"/>
  <c r="J80" i="3"/>
  <c r="P78" i="3"/>
  <c r="M77" i="3"/>
  <c r="G86" i="3"/>
  <c r="M83" i="3"/>
  <c r="J82" i="3"/>
  <c r="G81" i="3"/>
  <c r="P79" i="3"/>
  <c r="M78" i="3"/>
  <c r="J77" i="3"/>
  <c r="P85" i="3"/>
  <c r="M84" i="3"/>
  <c r="J83" i="3"/>
  <c r="G82" i="3"/>
  <c r="P80" i="3"/>
  <c r="M79" i="3"/>
  <c r="D79" i="3" s="1"/>
  <c r="N6" i="4" s="1"/>
  <c r="T6" i="4" s="1"/>
  <c r="J78" i="3"/>
  <c r="H14" i="6"/>
  <c r="F9" i="3"/>
  <c r="P107" i="3"/>
  <c r="D107" i="3" s="1"/>
  <c r="Q4" i="6" s="1"/>
  <c r="Q16" i="3"/>
  <c r="M116" i="3"/>
  <c r="O25" i="3"/>
  <c r="F57" i="3"/>
  <c r="F60" i="3"/>
  <c r="D67" i="3"/>
  <c r="P77" i="3"/>
  <c r="G83" i="3"/>
  <c r="H37" i="11"/>
  <c r="F40" i="11"/>
  <c r="L6" i="6"/>
  <c r="M6" i="6" s="1"/>
  <c r="H42" i="11"/>
  <c r="F13" i="11"/>
  <c r="F42" i="11" s="1"/>
  <c r="D71" i="3"/>
  <c r="D75" i="3"/>
  <c r="D76" i="3"/>
  <c r="D40" i="14"/>
  <c r="O89" i="3"/>
  <c r="D90" i="3"/>
  <c r="L91" i="3"/>
  <c r="F91" i="3" s="1"/>
  <c r="R91" i="3"/>
  <c r="I117" i="3"/>
  <c r="O124" i="3"/>
  <c r="D130" i="3"/>
  <c r="K7" i="4" s="1"/>
  <c r="D135" i="3"/>
  <c r="K12" i="4" s="1"/>
  <c r="E13" i="6"/>
  <c r="T13" i="6" s="1"/>
  <c r="F6" i="3"/>
  <c r="F11" i="3"/>
  <c r="F13" i="3"/>
  <c r="G110" i="3"/>
  <c r="I19" i="3"/>
  <c r="L112" i="3"/>
  <c r="I87" i="3"/>
  <c r="O87" i="3"/>
  <c r="F87" i="3" s="1"/>
  <c r="D88" i="3"/>
  <c r="D110" i="14"/>
  <c r="D92" i="3"/>
  <c r="D114" i="14"/>
  <c r="E94" i="3"/>
  <c r="D122" i="3"/>
  <c r="B9" i="4" s="1"/>
  <c r="Q9" i="4" s="1"/>
  <c r="R123" i="3"/>
  <c r="I126" i="3"/>
  <c r="O126" i="3"/>
  <c r="K28" i="11"/>
  <c r="F9" i="11"/>
  <c r="F38" i="11" s="1"/>
  <c r="F14" i="11"/>
  <c r="F43" i="11" s="1"/>
  <c r="C43" i="11" s="1"/>
  <c r="J14" i="11"/>
  <c r="J43" i="11" s="1"/>
  <c r="J11" i="11"/>
  <c r="J40" i="11" s="1"/>
  <c r="F12" i="11"/>
  <c r="F41" i="11" s="1"/>
  <c r="L12" i="11"/>
  <c r="L41" i="11" s="1"/>
  <c r="E5" i="6"/>
  <c r="E9" i="6"/>
  <c r="F10" i="3"/>
  <c r="H16" i="3"/>
  <c r="H17" i="3"/>
  <c r="H108" i="3" s="1"/>
  <c r="I108" i="3" s="1"/>
  <c r="P108" i="3"/>
  <c r="Q17" i="3"/>
  <c r="Q108" i="3" s="1"/>
  <c r="R108" i="3" s="1"/>
  <c r="O112" i="3"/>
  <c r="I22" i="3"/>
  <c r="O23" i="3"/>
  <c r="G116" i="3"/>
  <c r="D116" i="3" s="1"/>
  <c r="Q13" i="6" s="1"/>
  <c r="I25" i="3"/>
  <c r="F54" i="3"/>
  <c r="F56" i="3"/>
  <c r="F62" i="3"/>
  <c r="D68" i="3"/>
  <c r="D74" i="3"/>
  <c r="D89" i="3"/>
  <c r="I90" i="3"/>
  <c r="F90" i="3" s="1"/>
  <c r="I92" i="3"/>
  <c r="D79" i="14"/>
  <c r="I94" i="3"/>
  <c r="I95" i="3"/>
  <c r="F95" i="3" s="1"/>
  <c r="O95" i="3"/>
  <c r="D48" i="14"/>
  <c r="L96" i="3"/>
  <c r="E113" i="3"/>
  <c r="R10" i="6" s="1"/>
  <c r="I116" i="3"/>
  <c r="E117" i="3"/>
  <c r="C4" i="4" s="1"/>
  <c r="R117" i="3"/>
  <c r="R120" i="3"/>
  <c r="O121" i="3"/>
  <c r="I122" i="3"/>
  <c r="O122" i="3"/>
  <c r="D123" i="3"/>
  <c r="B10" i="4" s="1"/>
  <c r="Q10" i="4" s="1"/>
  <c r="L124" i="3"/>
  <c r="D129" i="3"/>
  <c r="K6" i="4" s="1"/>
  <c r="D132" i="3"/>
  <c r="K9" i="4" s="1"/>
  <c r="G28" i="11"/>
  <c r="C25" i="11"/>
  <c r="E37" i="11"/>
  <c r="M37" i="11"/>
  <c r="S5" i="20"/>
  <c r="K12" i="11"/>
  <c r="K41" i="11" s="1"/>
  <c r="AH12" i="26"/>
  <c r="AI9" i="26"/>
  <c r="R110" i="3"/>
  <c r="O111" i="3"/>
  <c r="O115" i="3"/>
  <c r="F48" i="3"/>
  <c r="F50" i="3"/>
  <c r="F58" i="3"/>
  <c r="F63" i="3"/>
  <c r="D70" i="3"/>
  <c r="I88" i="3"/>
  <c r="D75" i="14"/>
  <c r="D91" i="3"/>
  <c r="D44" i="14"/>
  <c r="I93" i="3"/>
  <c r="D118" i="14"/>
  <c r="O117" i="3"/>
  <c r="I118" i="3"/>
  <c r="O118" i="3"/>
  <c r="D119" i="3"/>
  <c r="B6" i="4" s="1"/>
  <c r="Q6" i="4" s="1"/>
  <c r="R119" i="3"/>
  <c r="O120" i="3"/>
  <c r="L121" i="3"/>
  <c r="F121" i="3" s="1"/>
  <c r="R121" i="3"/>
  <c r="R124" i="3"/>
  <c r="D128" i="3"/>
  <c r="K5" i="4" s="1"/>
  <c r="K14" i="4" s="1"/>
  <c r="D134" i="3"/>
  <c r="K11" i="4" s="1"/>
  <c r="F28" i="11"/>
  <c r="J28" i="11"/>
  <c r="C27" i="11"/>
  <c r="F7" i="11"/>
  <c r="F6" i="6" s="1"/>
  <c r="G6" i="6" s="1"/>
  <c r="D7" i="11"/>
  <c r="D36" i="11" s="1"/>
  <c r="L7" i="11"/>
  <c r="K9" i="11"/>
  <c r="K38" i="11" s="1"/>
  <c r="I9" i="11"/>
  <c r="I38" i="11" s="1"/>
  <c r="G11" i="11"/>
  <c r="L7" i="6" s="1"/>
  <c r="M7" i="6" s="1"/>
  <c r="K13" i="11"/>
  <c r="K42" i="11" s="1"/>
  <c r="AG47" i="19"/>
  <c r="AG12" i="26"/>
  <c r="AI10" i="26"/>
  <c r="O9" i="6"/>
  <c r="P9" i="6" s="1"/>
  <c r="E150" i="9"/>
  <c r="E12" i="11"/>
  <c r="E41" i="11" s="1"/>
  <c r="I12" i="11"/>
  <c r="I41" i="11" s="1"/>
  <c r="M13" i="11"/>
  <c r="M42" i="11" s="1"/>
  <c r="J12" i="11"/>
  <c r="J41" i="11" s="1"/>
  <c r="L13" i="11"/>
  <c r="L42" i="11" s="1"/>
  <c r="G13" i="11"/>
  <c r="G42" i="11" s="1"/>
  <c r="H12" i="11"/>
  <c r="H41" i="11" s="1"/>
  <c r="E13" i="11"/>
  <c r="E42" i="11" s="1"/>
  <c r="I13" i="11"/>
  <c r="I42" i="11" s="1"/>
  <c r="G40" i="11"/>
  <c r="C40" i="11" s="1"/>
  <c r="D8" i="11"/>
  <c r="D37" i="11" s="1"/>
  <c r="E10" i="11"/>
  <c r="E39" i="11" s="1"/>
  <c r="M10" i="11"/>
  <c r="M39" i="11" s="1"/>
  <c r="E129" i="9"/>
  <c r="H9" i="20"/>
  <c r="O8" i="6"/>
  <c r="P8" i="6" s="1"/>
  <c r="L10" i="11"/>
  <c r="L39" i="11" s="1"/>
  <c r="E4" i="9"/>
  <c r="I10" i="11"/>
  <c r="I39" i="11" s="1"/>
  <c r="S9" i="20"/>
  <c r="I8" i="11"/>
  <c r="I37" i="11" s="1"/>
  <c r="E3" i="10"/>
  <c r="E34" i="10"/>
  <c r="D13" i="11"/>
  <c r="D42" i="11" s="1"/>
  <c r="D12" i="11"/>
  <c r="D41" i="11" s="1"/>
  <c r="U8" i="20"/>
  <c r="U12" i="20"/>
  <c r="R5" i="20"/>
  <c r="G5" i="20"/>
  <c r="G9" i="20"/>
  <c r="L4" i="6"/>
  <c r="M4" i="6" s="1"/>
  <c r="O6" i="6"/>
  <c r="P6" i="6" s="1"/>
  <c r="L5" i="6"/>
  <c r="M5" i="6" s="1"/>
  <c r="U6" i="20"/>
  <c r="O7" i="6"/>
  <c r="P7" i="6" s="1"/>
  <c r="E5" i="20"/>
  <c r="L9" i="6"/>
  <c r="M9" i="6" s="1"/>
  <c r="U13" i="20"/>
  <c r="Q9" i="20"/>
  <c r="L8" i="6"/>
  <c r="M8" i="6" s="1"/>
  <c r="L13" i="6"/>
  <c r="M13" i="6" s="1"/>
  <c r="Q5" i="20"/>
  <c r="E25" i="9"/>
  <c r="E9" i="11"/>
  <c r="E38" i="11" s="1"/>
  <c r="E57" i="9"/>
  <c r="F9" i="20"/>
  <c r="R9" i="20"/>
  <c r="K10" i="11"/>
  <c r="K39" i="11" s="1"/>
  <c r="F10" i="11"/>
  <c r="F39" i="11" s="1"/>
  <c r="H10" i="11"/>
  <c r="H39" i="11" s="1"/>
  <c r="J10" i="11"/>
  <c r="J39" i="11" s="1"/>
  <c r="J44" i="11" s="1"/>
  <c r="U10" i="20"/>
  <c r="E9" i="20"/>
  <c r="E78" i="9"/>
  <c r="C7" i="11"/>
  <c r="H5" i="20"/>
  <c r="I11" i="20"/>
  <c r="O11" i="6"/>
  <c r="P11" i="6" s="1"/>
  <c r="F5" i="20"/>
  <c r="M44" i="11"/>
  <c r="U14" i="20"/>
  <c r="I7" i="20"/>
  <c r="I10" i="20"/>
  <c r="I13" i="20"/>
  <c r="I6" i="20"/>
  <c r="D9" i="20"/>
  <c r="I14" i="20"/>
  <c r="O4" i="6"/>
  <c r="L12" i="6"/>
  <c r="M12" i="6" s="1"/>
  <c r="G3" i="9"/>
  <c r="I12" i="20"/>
  <c r="I8" i="20"/>
  <c r="D8" i="4"/>
  <c r="G15" i="4"/>
  <c r="I18" i="20" s="1"/>
  <c r="Q107" i="3"/>
  <c r="R16" i="3"/>
  <c r="J109" i="3"/>
  <c r="L109" i="3" s="1"/>
  <c r="L18" i="3"/>
  <c r="I110" i="3"/>
  <c r="I114" i="3"/>
  <c r="O113" i="3"/>
  <c r="O114" i="3"/>
  <c r="D5" i="20"/>
  <c r="R4" i="4"/>
  <c r="M107" i="3"/>
  <c r="N16" i="3"/>
  <c r="R17" i="3"/>
  <c r="F93" i="3"/>
  <c r="I111" i="3"/>
  <c r="D5" i="4"/>
  <c r="I109" i="3"/>
  <c r="D111" i="3"/>
  <c r="Q8" i="6" s="1"/>
  <c r="T8" i="6" s="1"/>
  <c r="I113" i="3"/>
  <c r="F15" i="3"/>
  <c r="M108" i="3"/>
  <c r="N17" i="3"/>
  <c r="R18" i="3"/>
  <c r="P109" i="3"/>
  <c r="R109" i="3" s="1"/>
  <c r="O109" i="3"/>
  <c r="O110" i="3"/>
  <c r="F122" i="3"/>
  <c r="E110" i="3"/>
  <c r="J111" i="3"/>
  <c r="L111" i="3" s="1"/>
  <c r="P113" i="3"/>
  <c r="D113" i="3" s="1"/>
  <c r="E114" i="3"/>
  <c r="E115" i="3"/>
  <c r="E116" i="3"/>
  <c r="R116" i="3"/>
  <c r="I124" i="3"/>
  <c r="E124" i="3"/>
  <c r="C11" i="4" s="1"/>
  <c r="E125" i="3"/>
  <c r="C12" i="4" s="1"/>
  <c r="D4" i="14"/>
  <c r="D8" i="14"/>
  <c r="D12" i="14"/>
  <c r="L88" i="3"/>
  <c r="E89" i="3"/>
  <c r="I89" i="3"/>
  <c r="R90" i="3"/>
  <c r="L92" i="3"/>
  <c r="E93" i="3"/>
  <c r="R94" i="3"/>
  <c r="J110" i="3"/>
  <c r="D110" i="3" s="1"/>
  <c r="Q7" i="6" s="1"/>
  <c r="T7" i="6" s="1"/>
  <c r="P112" i="3"/>
  <c r="R112" i="3" s="1"/>
  <c r="J114" i="3"/>
  <c r="L114" i="3" s="1"/>
  <c r="P115" i="3"/>
  <c r="I120" i="3"/>
  <c r="E120" i="3"/>
  <c r="C7" i="4" s="1"/>
  <c r="D39" i="14"/>
  <c r="D43" i="14"/>
  <c r="D47" i="14"/>
  <c r="R19" i="3"/>
  <c r="R20" i="3"/>
  <c r="L21" i="3"/>
  <c r="L22" i="3"/>
  <c r="R23" i="3"/>
  <c r="L24" i="3"/>
  <c r="L25" i="3"/>
  <c r="R25" i="3"/>
  <c r="E88" i="3"/>
  <c r="O90" i="3"/>
  <c r="R22" i="20" s="1"/>
  <c r="E92" i="3"/>
  <c r="O94" i="3"/>
  <c r="E96" i="3"/>
  <c r="E112" i="3"/>
  <c r="R115" i="3"/>
  <c r="O116" i="3"/>
  <c r="I123" i="3"/>
  <c r="F123" i="3" s="1"/>
  <c r="L126" i="3"/>
  <c r="F126" i="3" s="1"/>
  <c r="D10" i="14"/>
  <c r="E87" i="3"/>
  <c r="R88" i="3"/>
  <c r="L90" i="3"/>
  <c r="E91" i="3"/>
  <c r="R92" i="3"/>
  <c r="L94" i="3"/>
  <c r="F94" i="3" s="1"/>
  <c r="E95" i="3"/>
  <c r="R96" i="3"/>
  <c r="E111" i="3"/>
  <c r="I119" i="3"/>
  <c r="E122" i="3"/>
  <c r="C9" i="4" s="1"/>
  <c r="O125" i="3"/>
  <c r="F125" i="3" s="1"/>
  <c r="D126" i="3"/>
  <c r="B13" i="4" s="1"/>
  <c r="Q13" i="4" s="1"/>
  <c r="AF47" i="19"/>
  <c r="D41" i="14"/>
  <c r="D45" i="14"/>
  <c r="L118" i="3"/>
  <c r="E119" i="3"/>
  <c r="C6" i="4" s="1"/>
  <c r="L122" i="3"/>
  <c r="E123" i="3"/>
  <c r="C10" i="4" s="1"/>
  <c r="F36" i="11"/>
  <c r="L36" i="11"/>
  <c r="G56" i="9"/>
  <c r="AI6" i="26"/>
  <c r="D7" i="14"/>
  <c r="D80" i="14"/>
  <c r="D109" i="14"/>
  <c r="D117" i="14"/>
  <c r="D117" i="3"/>
  <c r="B4" i="4" s="1"/>
  <c r="D4" i="4" s="1"/>
  <c r="E126" i="3"/>
  <c r="C13" i="4" s="1"/>
  <c r="C23" i="11"/>
  <c r="H36" i="11"/>
  <c r="P7" i="20"/>
  <c r="F3" i="9"/>
  <c r="T7" i="20"/>
  <c r="T5" i="20" s="1"/>
  <c r="D5" i="14"/>
  <c r="D13" i="14"/>
  <c r="D78" i="14"/>
  <c r="D115" i="14"/>
  <c r="G15" i="11"/>
  <c r="D11" i="14"/>
  <c r="D76" i="14"/>
  <c r="D113" i="14"/>
  <c r="P11" i="20"/>
  <c r="P9" i="20" s="1"/>
  <c r="F56" i="9"/>
  <c r="T11" i="20"/>
  <c r="T9" i="20" s="1"/>
  <c r="D9" i="14"/>
  <c r="D74" i="14"/>
  <c r="D82" i="14"/>
  <c r="D111" i="14"/>
  <c r="K67" i="3"/>
  <c r="K77" i="3" s="1"/>
  <c r="L77" i="3" s="1"/>
  <c r="I4" i="6"/>
  <c r="J4" i="6" s="1"/>
  <c r="O136" i="3"/>
  <c r="D103" i="14"/>
  <c r="H129" i="3"/>
  <c r="K132" i="3"/>
  <c r="N135" i="3"/>
  <c r="H127" i="3"/>
  <c r="H128" i="3"/>
  <c r="Q129" i="3"/>
  <c r="N130" i="3"/>
  <c r="K131" i="3"/>
  <c r="H132" i="3"/>
  <c r="Q133" i="3"/>
  <c r="N134" i="3"/>
  <c r="K135" i="3"/>
  <c r="H136" i="3"/>
  <c r="Q130" i="3"/>
  <c r="K136" i="3"/>
  <c r="Q127" i="3"/>
  <c r="Q128" i="3"/>
  <c r="N129" i="3"/>
  <c r="K130" i="3"/>
  <c r="H131" i="3"/>
  <c r="Q132" i="3"/>
  <c r="N133" i="3"/>
  <c r="K134" i="3"/>
  <c r="H135" i="3"/>
  <c r="Q136" i="3"/>
  <c r="K127" i="3"/>
  <c r="K128" i="3"/>
  <c r="N131" i="3"/>
  <c r="H133" i="3"/>
  <c r="Q134" i="3"/>
  <c r="N127" i="3"/>
  <c r="N128" i="3"/>
  <c r="K129" i="3"/>
  <c r="H130" i="3"/>
  <c r="Q131" i="3"/>
  <c r="N132" i="3"/>
  <c r="K133" i="3"/>
  <c r="H134" i="3"/>
  <c r="Q135" i="3"/>
  <c r="N67" i="3"/>
  <c r="O67" i="3" s="1"/>
  <c r="N97" i="3" s="1"/>
  <c r="O97" i="3" s="1"/>
  <c r="F5" i="6"/>
  <c r="C10" i="6"/>
  <c r="D10" i="6" s="1"/>
  <c r="I12" i="6"/>
  <c r="J12" i="6" s="1"/>
  <c r="C13" i="6"/>
  <c r="F13" i="6"/>
  <c r="G13" i="6" s="1"/>
  <c r="C12" i="6"/>
  <c r="D12" i="6" s="1"/>
  <c r="I13" i="6"/>
  <c r="J13" i="6" s="1"/>
  <c r="F12" i="6"/>
  <c r="F8" i="6"/>
  <c r="G8" i="6" s="1"/>
  <c r="K86" i="3"/>
  <c r="L76" i="3"/>
  <c r="K106" i="3" s="1"/>
  <c r="L106" i="3" s="1"/>
  <c r="I7" i="6"/>
  <c r="J7" i="6" s="1"/>
  <c r="C8" i="6"/>
  <c r="D8" i="6" s="1"/>
  <c r="F9" i="6"/>
  <c r="G9" i="6" s="1"/>
  <c r="F11" i="6"/>
  <c r="G11" i="6" s="1"/>
  <c r="C6" i="6"/>
  <c r="D6" i="6" s="1"/>
  <c r="F7" i="6"/>
  <c r="G7" i="6" s="1"/>
  <c r="F10" i="6"/>
  <c r="G10" i="6" s="1"/>
  <c r="H67" i="3"/>
  <c r="H68" i="3"/>
  <c r="Q69" i="3"/>
  <c r="N70" i="3"/>
  <c r="K71" i="3"/>
  <c r="H72" i="3"/>
  <c r="Q73" i="3"/>
  <c r="N74" i="3"/>
  <c r="K75" i="3"/>
  <c r="H76" i="3"/>
  <c r="Q67" i="3"/>
  <c r="Q68" i="3"/>
  <c r="N69" i="3"/>
  <c r="K70" i="3"/>
  <c r="H71" i="3"/>
  <c r="Q72" i="3"/>
  <c r="N73" i="3"/>
  <c r="K74" i="3"/>
  <c r="H75" i="3"/>
  <c r="Q76" i="3"/>
  <c r="N68" i="3"/>
  <c r="K69" i="3"/>
  <c r="H70" i="3"/>
  <c r="Q71" i="3"/>
  <c r="N72" i="3"/>
  <c r="K73" i="3"/>
  <c r="H74" i="3"/>
  <c r="Q75" i="3"/>
  <c r="N76" i="3"/>
  <c r="K68" i="3"/>
  <c r="H69" i="3"/>
  <c r="Q70" i="3"/>
  <c r="N71" i="3"/>
  <c r="K72" i="3"/>
  <c r="H73" i="3"/>
  <c r="Q74" i="3"/>
  <c r="N75" i="3"/>
  <c r="T7" i="4" l="1"/>
  <c r="L86" i="3"/>
  <c r="G44" i="11"/>
  <c r="AI12" i="26"/>
  <c r="M15" i="11"/>
  <c r="B13" i="2"/>
  <c r="C14" i="4"/>
  <c r="F92" i="3"/>
  <c r="Q22" i="20"/>
  <c r="D114" i="3"/>
  <c r="Q11" i="6" s="1"/>
  <c r="T11" i="6" s="1"/>
  <c r="L10" i="6"/>
  <c r="M10" i="6" s="1"/>
  <c r="H107" i="3"/>
  <c r="I107" i="3" s="1"/>
  <c r="D4" i="20" s="1"/>
  <c r="I16" i="3"/>
  <c r="D81" i="3"/>
  <c r="N8" i="4" s="1"/>
  <c r="T8" i="4" s="1"/>
  <c r="E8" i="2" s="1"/>
  <c r="D77" i="3"/>
  <c r="N4" i="4" s="1"/>
  <c r="K107" i="3"/>
  <c r="L107" i="3" s="1"/>
  <c r="L16" i="3"/>
  <c r="G5" i="6"/>
  <c r="C28" i="11"/>
  <c r="F120" i="3"/>
  <c r="D108" i="3"/>
  <c r="Q5" i="6" s="1"/>
  <c r="T5" i="6" s="1"/>
  <c r="R113" i="3"/>
  <c r="R107" i="3"/>
  <c r="S4" i="20" s="1"/>
  <c r="S3" i="20" s="1"/>
  <c r="C11" i="11"/>
  <c r="C11" i="6"/>
  <c r="D11" i="6" s="1"/>
  <c r="C37" i="11"/>
  <c r="S17" i="20"/>
  <c r="S16" i="20" s="1"/>
  <c r="G17" i="20"/>
  <c r="G16" i="20" s="1"/>
  <c r="F117" i="3"/>
  <c r="D84" i="3"/>
  <c r="N11" i="4" s="1"/>
  <c r="T11" i="4" s="1"/>
  <c r="D86" i="3"/>
  <c r="N13" i="4" s="1"/>
  <c r="T13" i="4" s="1"/>
  <c r="E13" i="2" s="1"/>
  <c r="G12" i="6"/>
  <c r="C14" i="11"/>
  <c r="L44" i="11"/>
  <c r="F96" i="3"/>
  <c r="D115" i="3"/>
  <c r="Q12" i="6" s="1"/>
  <c r="T12" i="6" s="1"/>
  <c r="B12" i="2" s="1"/>
  <c r="F124" i="3"/>
  <c r="I17" i="3"/>
  <c r="L15" i="11"/>
  <c r="K44" i="11"/>
  <c r="O10" i="6"/>
  <c r="P10" i="6" s="1"/>
  <c r="D83" i="3"/>
  <c r="N10" i="4" s="1"/>
  <c r="T10" i="4" s="1"/>
  <c r="D78" i="3"/>
  <c r="N5" i="4" s="1"/>
  <c r="T5" i="4" s="1"/>
  <c r="E5" i="2" s="1"/>
  <c r="D85" i="3"/>
  <c r="N12" i="4" s="1"/>
  <c r="T12" i="4" s="1"/>
  <c r="E12" i="2" s="1"/>
  <c r="K108" i="3"/>
  <c r="L108" i="3" s="1"/>
  <c r="L17" i="3"/>
  <c r="E14" i="6"/>
  <c r="C7" i="6"/>
  <c r="U7" i="6" s="1"/>
  <c r="C42" i="11"/>
  <c r="E44" i="11"/>
  <c r="C9" i="6"/>
  <c r="D9" i="6" s="1"/>
  <c r="C5" i="6"/>
  <c r="D5" i="6" s="1"/>
  <c r="C41" i="11"/>
  <c r="I44" i="11"/>
  <c r="C13" i="11"/>
  <c r="C8" i="11"/>
  <c r="H3" i="20"/>
  <c r="F4" i="6"/>
  <c r="F14" i="6" s="1"/>
  <c r="I9" i="6"/>
  <c r="J9" i="6" s="1"/>
  <c r="I15" i="11"/>
  <c r="E3" i="9"/>
  <c r="D15" i="11"/>
  <c r="C4" i="6"/>
  <c r="D4" i="6" s="1"/>
  <c r="C12" i="11"/>
  <c r="I6" i="6"/>
  <c r="J6" i="6" s="1"/>
  <c r="C39" i="11"/>
  <c r="U11" i="20"/>
  <c r="T3" i="20"/>
  <c r="I5" i="20"/>
  <c r="C9" i="11"/>
  <c r="I5" i="6"/>
  <c r="J5" i="6" s="1"/>
  <c r="E15" i="11"/>
  <c r="C38" i="11"/>
  <c r="I9" i="20"/>
  <c r="U9" i="20"/>
  <c r="E56" i="9"/>
  <c r="F15" i="11"/>
  <c r="F44" i="11"/>
  <c r="K15" i="11"/>
  <c r="I11" i="6"/>
  <c r="J11" i="6" s="1"/>
  <c r="C10" i="11"/>
  <c r="H44" i="11"/>
  <c r="I10" i="6"/>
  <c r="J10" i="6" s="1"/>
  <c r="I8" i="6"/>
  <c r="J8" i="6" s="1"/>
  <c r="H15" i="11"/>
  <c r="J15" i="11"/>
  <c r="O14" i="6"/>
  <c r="P4" i="6"/>
  <c r="B11" i="2"/>
  <c r="E11" i="2"/>
  <c r="B7" i="2"/>
  <c r="E7" i="2"/>
  <c r="Q10" i="6"/>
  <c r="F113" i="3"/>
  <c r="B8" i="2"/>
  <c r="B5" i="2"/>
  <c r="R10" i="4"/>
  <c r="S10" i="4" s="1"/>
  <c r="D10" i="4"/>
  <c r="R9" i="4"/>
  <c r="S9" i="4" s="1"/>
  <c r="D9" i="4"/>
  <c r="R12" i="4"/>
  <c r="S12" i="4" s="1"/>
  <c r="D12" i="4"/>
  <c r="F116" i="3"/>
  <c r="R13" i="6"/>
  <c r="S13" i="6" s="1"/>
  <c r="D109" i="3"/>
  <c r="M15" i="6"/>
  <c r="M14" i="6"/>
  <c r="F88" i="3"/>
  <c r="N107" i="3"/>
  <c r="O16" i="3"/>
  <c r="D112" i="3"/>
  <c r="Q9" i="6" s="1"/>
  <c r="T9" i="6" s="1"/>
  <c r="F114" i="3"/>
  <c r="R11" i="6"/>
  <c r="S11" i="6" s="1"/>
  <c r="C36" i="11"/>
  <c r="D44" i="11"/>
  <c r="R13" i="4"/>
  <c r="S13" i="4" s="1"/>
  <c r="D13" i="4"/>
  <c r="F119" i="3"/>
  <c r="D17" i="20"/>
  <c r="P17" i="20"/>
  <c r="S22" i="20"/>
  <c r="F89" i="3"/>
  <c r="P22" i="20"/>
  <c r="R11" i="4"/>
  <c r="S11" i="4" s="1"/>
  <c r="D11" i="4"/>
  <c r="R12" i="6"/>
  <c r="L110" i="3"/>
  <c r="F118" i="3"/>
  <c r="Q17" i="20"/>
  <c r="Q16" i="20" s="1"/>
  <c r="E17" i="20"/>
  <c r="E16" i="20" s="1"/>
  <c r="R7" i="4"/>
  <c r="S7" i="4" s="1"/>
  <c r="D7" i="4"/>
  <c r="P5" i="20"/>
  <c r="U7" i="20"/>
  <c r="B14" i="4"/>
  <c r="Q4" i="4"/>
  <c r="R6" i="4"/>
  <c r="S6" i="4" s="1"/>
  <c r="D6" i="4"/>
  <c r="R17" i="20"/>
  <c r="R16" i="20" s="1"/>
  <c r="F17" i="20"/>
  <c r="F16" i="20" s="1"/>
  <c r="F111" i="3"/>
  <c r="R8" i="6"/>
  <c r="S8" i="6" s="1"/>
  <c r="R9" i="6"/>
  <c r="S9" i="6" s="1"/>
  <c r="F110" i="3"/>
  <c r="R7" i="6"/>
  <c r="S7" i="6" s="1"/>
  <c r="N108" i="3"/>
  <c r="O17" i="3"/>
  <c r="T4" i="6"/>
  <c r="L67" i="3"/>
  <c r="K97" i="3" s="1"/>
  <c r="L97" i="3" s="1"/>
  <c r="D64" i="14"/>
  <c r="L132" i="3"/>
  <c r="D65" i="14"/>
  <c r="L133" i="3"/>
  <c r="D61" i="14"/>
  <c r="L129" i="3"/>
  <c r="D30" i="14"/>
  <c r="I133" i="3"/>
  <c r="E133" i="3"/>
  <c r="L10" i="4" s="1"/>
  <c r="M10" i="4" s="1"/>
  <c r="R136" i="3"/>
  <c r="D138" i="14"/>
  <c r="R132" i="3"/>
  <c r="D134" i="14"/>
  <c r="R128" i="3"/>
  <c r="D130" i="14"/>
  <c r="D33" i="14"/>
  <c r="I136" i="3"/>
  <c r="E136" i="3"/>
  <c r="L13" i="4" s="1"/>
  <c r="M13" i="4" s="1"/>
  <c r="D29" i="14"/>
  <c r="I132" i="3"/>
  <c r="E132" i="3"/>
  <c r="L9" i="4" s="1"/>
  <c r="M9" i="4" s="1"/>
  <c r="D25" i="14"/>
  <c r="I128" i="3"/>
  <c r="E128" i="3"/>
  <c r="L5" i="4" s="1"/>
  <c r="M5" i="4" s="1"/>
  <c r="D26" i="14"/>
  <c r="I129" i="3"/>
  <c r="E129" i="3"/>
  <c r="L6" i="4" s="1"/>
  <c r="M6" i="4" s="1"/>
  <c r="D31" i="14"/>
  <c r="E134" i="3"/>
  <c r="L11" i="4" s="1"/>
  <c r="M11" i="4" s="1"/>
  <c r="I134" i="3"/>
  <c r="D136" i="14"/>
  <c r="R134" i="3"/>
  <c r="D59" i="14"/>
  <c r="L127" i="3"/>
  <c r="D96" i="14"/>
  <c r="O129" i="3"/>
  <c r="D135" i="14"/>
  <c r="R133" i="3"/>
  <c r="O128" i="3"/>
  <c r="D95" i="14"/>
  <c r="D63" i="14"/>
  <c r="L131" i="3"/>
  <c r="D27" i="14"/>
  <c r="I130" i="3"/>
  <c r="E130" i="3"/>
  <c r="L7" i="4" s="1"/>
  <c r="M7" i="4" s="1"/>
  <c r="D100" i="14"/>
  <c r="O133" i="3"/>
  <c r="D132" i="14"/>
  <c r="R130" i="3"/>
  <c r="R129" i="3"/>
  <c r="D131" i="14"/>
  <c r="O132" i="3"/>
  <c r="D99" i="14"/>
  <c r="D98" i="14"/>
  <c r="O131" i="3"/>
  <c r="I135" i="3"/>
  <c r="E135" i="3"/>
  <c r="L12" i="4" s="1"/>
  <c r="M12" i="4" s="1"/>
  <c r="D32" i="14"/>
  <c r="I131" i="3"/>
  <c r="E131" i="3"/>
  <c r="L8" i="4" s="1"/>
  <c r="M8" i="4" s="1"/>
  <c r="D28" i="14"/>
  <c r="R127" i="3"/>
  <c r="D129" i="14"/>
  <c r="D67" i="14"/>
  <c r="L135" i="3"/>
  <c r="I127" i="3"/>
  <c r="E127" i="3"/>
  <c r="L4" i="4" s="1"/>
  <c r="D24" i="14"/>
  <c r="D137" i="14"/>
  <c r="R135" i="3"/>
  <c r="R131" i="3"/>
  <c r="D133" i="14"/>
  <c r="D94" i="14"/>
  <c r="O127" i="3"/>
  <c r="D60" i="14"/>
  <c r="L128" i="3"/>
  <c r="L134" i="3"/>
  <c r="D66" i="14"/>
  <c r="L130" i="3"/>
  <c r="D62" i="14"/>
  <c r="D68" i="14"/>
  <c r="L136" i="3"/>
  <c r="O134" i="3"/>
  <c r="D101" i="14"/>
  <c r="O130" i="3"/>
  <c r="D97" i="14"/>
  <c r="D102" i="14"/>
  <c r="O135" i="3"/>
  <c r="N77" i="3"/>
  <c r="O77" i="3" s="1"/>
  <c r="H83" i="3"/>
  <c r="I73" i="3"/>
  <c r="E73" i="3"/>
  <c r="H79" i="3"/>
  <c r="I69" i="3"/>
  <c r="E69" i="3"/>
  <c r="I74" i="3"/>
  <c r="E74" i="3"/>
  <c r="H84" i="3"/>
  <c r="I70" i="3"/>
  <c r="E70" i="3"/>
  <c r="H80" i="3"/>
  <c r="Q86" i="3"/>
  <c r="R86" i="3" s="1"/>
  <c r="R76" i="3"/>
  <c r="Q106" i="3" s="1"/>
  <c r="R106" i="3" s="1"/>
  <c r="Q82" i="3"/>
  <c r="R82" i="3" s="1"/>
  <c r="R72" i="3"/>
  <c r="Q102" i="3" s="1"/>
  <c r="R102" i="3" s="1"/>
  <c r="Q78" i="3"/>
  <c r="R78" i="3" s="1"/>
  <c r="R68" i="3"/>
  <c r="Q98" i="3" s="1"/>
  <c r="R98" i="3" s="1"/>
  <c r="N84" i="3"/>
  <c r="O84" i="3" s="1"/>
  <c r="O74" i="3"/>
  <c r="N104" i="3" s="1"/>
  <c r="O104" i="3" s="1"/>
  <c r="N80" i="3"/>
  <c r="O80" i="3" s="1"/>
  <c r="O70" i="3"/>
  <c r="N100" i="3" s="1"/>
  <c r="O100" i="3" s="1"/>
  <c r="H77" i="3"/>
  <c r="I67" i="3"/>
  <c r="E67" i="3"/>
  <c r="K82" i="3"/>
  <c r="L82" i="3" s="1"/>
  <c r="L72" i="3"/>
  <c r="K102" i="3" s="1"/>
  <c r="L102" i="3" s="1"/>
  <c r="K78" i="3"/>
  <c r="L78" i="3" s="1"/>
  <c r="L68" i="3"/>
  <c r="K98" i="3" s="1"/>
  <c r="L98" i="3" s="1"/>
  <c r="L73" i="3"/>
  <c r="K103" i="3" s="1"/>
  <c r="L103" i="3" s="1"/>
  <c r="K83" i="3"/>
  <c r="L83" i="3" s="1"/>
  <c r="L69" i="3"/>
  <c r="K99" i="3" s="1"/>
  <c r="L99" i="3" s="1"/>
  <c r="K79" i="3"/>
  <c r="L79" i="3" s="1"/>
  <c r="H85" i="3"/>
  <c r="I75" i="3"/>
  <c r="E75" i="3"/>
  <c r="H81" i="3"/>
  <c r="I71" i="3"/>
  <c r="E71" i="3"/>
  <c r="R67" i="3"/>
  <c r="Q97" i="3" s="1"/>
  <c r="R97" i="3" s="1"/>
  <c r="Q77" i="3"/>
  <c r="R77" i="3" s="1"/>
  <c r="Q83" i="3"/>
  <c r="R83" i="3" s="1"/>
  <c r="R73" i="3"/>
  <c r="Q103" i="3" s="1"/>
  <c r="R103" i="3" s="1"/>
  <c r="Q79" i="3"/>
  <c r="R79" i="3" s="1"/>
  <c r="R69" i="3"/>
  <c r="Q99" i="3" s="1"/>
  <c r="R99" i="3" s="1"/>
  <c r="D13" i="6"/>
  <c r="U13" i="6"/>
  <c r="N85" i="3"/>
  <c r="O85" i="3" s="1"/>
  <c r="O75" i="3"/>
  <c r="N105" i="3" s="1"/>
  <c r="O105" i="3" s="1"/>
  <c r="N81" i="3"/>
  <c r="O81" i="3" s="1"/>
  <c r="O71" i="3"/>
  <c r="N101" i="3" s="1"/>
  <c r="O101" i="3" s="1"/>
  <c r="O76" i="3"/>
  <c r="N106" i="3" s="1"/>
  <c r="O106" i="3" s="1"/>
  <c r="N86" i="3"/>
  <c r="O86" i="3" s="1"/>
  <c r="O72" i="3"/>
  <c r="N102" i="3" s="1"/>
  <c r="O102" i="3" s="1"/>
  <c r="N82" i="3"/>
  <c r="O82" i="3" s="1"/>
  <c r="O68" i="3"/>
  <c r="N98" i="3" s="1"/>
  <c r="O98" i="3" s="1"/>
  <c r="N78" i="3"/>
  <c r="O78" i="3" s="1"/>
  <c r="K84" i="3"/>
  <c r="L84" i="3" s="1"/>
  <c r="L74" i="3"/>
  <c r="K104" i="3" s="1"/>
  <c r="L104" i="3" s="1"/>
  <c r="K80" i="3"/>
  <c r="L80" i="3" s="1"/>
  <c r="L70" i="3"/>
  <c r="K100" i="3" s="1"/>
  <c r="L100" i="3" s="1"/>
  <c r="H86" i="3"/>
  <c r="I76" i="3"/>
  <c r="E76" i="3"/>
  <c r="H82" i="3"/>
  <c r="I72" i="3"/>
  <c r="E72" i="3"/>
  <c r="H78" i="3"/>
  <c r="I68" i="3"/>
  <c r="E68" i="3"/>
  <c r="Q84" i="3"/>
  <c r="R84" i="3" s="1"/>
  <c r="R74" i="3"/>
  <c r="Q104" i="3" s="1"/>
  <c r="R104" i="3" s="1"/>
  <c r="Q80" i="3"/>
  <c r="R80" i="3" s="1"/>
  <c r="R70" i="3"/>
  <c r="Q100" i="3" s="1"/>
  <c r="R100" i="3" s="1"/>
  <c r="R75" i="3"/>
  <c r="Q105" i="3" s="1"/>
  <c r="R105" i="3" s="1"/>
  <c r="Q85" i="3"/>
  <c r="R85" i="3" s="1"/>
  <c r="R71" i="3"/>
  <c r="Q101" i="3" s="1"/>
  <c r="R101" i="3" s="1"/>
  <c r="Q81" i="3"/>
  <c r="R81" i="3" s="1"/>
  <c r="N83" i="3"/>
  <c r="O83" i="3" s="1"/>
  <c r="O73" i="3"/>
  <c r="N103" i="3" s="1"/>
  <c r="O103" i="3" s="1"/>
  <c r="N79" i="3"/>
  <c r="O79" i="3" s="1"/>
  <c r="O69" i="3"/>
  <c r="N99" i="3" s="1"/>
  <c r="O99" i="3" s="1"/>
  <c r="K85" i="3"/>
  <c r="L85" i="3" s="1"/>
  <c r="L75" i="3"/>
  <c r="K105" i="3" s="1"/>
  <c r="L105" i="3" s="1"/>
  <c r="K81" i="3"/>
  <c r="L81" i="3" s="1"/>
  <c r="L71" i="3"/>
  <c r="K101" i="3" s="1"/>
  <c r="L101" i="3" s="1"/>
  <c r="D7" i="6" l="1"/>
  <c r="F112" i="3"/>
  <c r="E4" i="20"/>
  <c r="E3" i="20" s="1"/>
  <c r="T4" i="4"/>
  <c r="T14" i="4" s="1"/>
  <c r="N14" i="4"/>
  <c r="G4" i="20"/>
  <c r="G3" i="20" s="1"/>
  <c r="D15" i="4"/>
  <c r="S12" i="6"/>
  <c r="U22" i="20"/>
  <c r="P4" i="20"/>
  <c r="F115" i="3"/>
  <c r="L14" i="6"/>
  <c r="C14" i="6"/>
  <c r="G4" i="6"/>
  <c r="G14" i="6" s="1"/>
  <c r="U6" i="6"/>
  <c r="C6" i="2" s="1"/>
  <c r="C15" i="11"/>
  <c r="U11" i="6"/>
  <c r="V11" i="6" s="1"/>
  <c r="C44" i="11"/>
  <c r="J14" i="6"/>
  <c r="J15" i="6"/>
  <c r="I14" i="6"/>
  <c r="U10" i="6"/>
  <c r="U8" i="6"/>
  <c r="C8" i="2" s="1"/>
  <c r="D8" i="2" s="1"/>
  <c r="I8" i="2" s="1"/>
  <c r="P15" i="6"/>
  <c r="P14" i="6"/>
  <c r="Q14" i="4"/>
  <c r="B4" i="2"/>
  <c r="O107" i="3"/>
  <c r="E107" i="3"/>
  <c r="U12" i="6"/>
  <c r="V12" i="6" s="1"/>
  <c r="R14" i="4"/>
  <c r="O108" i="3"/>
  <c r="E108" i="3"/>
  <c r="D3" i="20"/>
  <c r="T10" i="6"/>
  <c r="S10" i="6"/>
  <c r="E4" i="2"/>
  <c r="S4" i="4"/>
  <c r="Q4" i="20"/>
  <c r="Q3" i="20" s="1"/>
  <c r="B9" i="2"/>
  <c r="E9" i="2"/>
  <c r="D14" i="4"/>
  <c r="I17" i="20"/>
  <c r="D16" i="20"/>
  <c r="I16" i="20" s="1"/>
  <c r="Q6" i="6"/>
  <c r="F109" i="3"/>
  <c r="U9" i="6"/>
  <c r="V9" i="6" s="1"/>
  <c r="P3" i="20"/>
  <c r="U5" i="20"/>
  <c r="P16" i="20"/>
  <c r="U16" i="20" s="1"/>
  <c r="U17" i="20"/>
  <c r="F130" i="3"/>
  <c r="F133" i="3"/>
  <c r="D15" i="6"/>
  <c r="Q20" i="20"/>
  <c r="F132" i="3"/>
  <c r="M4" i="4"/>
  <c r="L14" i="4"/>
  <c r="F131" i="3"/>
  <c r="F128" i="3"/>
  <c r="R23" i="20"/>
  <c r="F23" i="20"/>
  <c r="F127" i="3"/>
  <c r="P23" i="20"/>
  <c r="D23" i="20"/>
  <c r="G23" i="20"/>
  <c r="S23" i="20"/>
  <c r="Q23" i="20"/>
  <c r="E23" i="20"/>
  <c r="F134" i="3"/>
  <c r="F129" i="3"/>
  <c r="F135" i="3"/>
  <c r="F136" i="3"/>
  <c r="R21" i="20"/>
  <c r="F21" i="20"/>
  <c r="F72" i="3"/>
  <c r="H102" i="3"/>
  <c r="I86" i="3"/>
  <c r="F86" i="3" s="1"/>
  <c r="E86" i="3"/>
  <c r="O13" i="4" s="1"/>
  <c r="P13" i="4" s="1"/>
  <c r="S20" i="20"/>
  <c r="G20" i="20"/>
  <c r="Q21" i="20"/>
  <c r="E21" i="20"/>
  <c r="I77" i="3"/>
  <c r="E77" i="3"/>
  <c r="O4" i="4" s="1"/>
  <c r="H104" i="3"/>
  <c r="F74" i="3"/>
  <c r="F68" i="3"/>
  <c r="H98" i="3"/>
  <c r="I82" i="3"/>
  <c r="F82" i="3" s="1"/>
  <c r="E82" i="3"/>
  <c r="O9" i="4" s="1"/>
  <c r="P9" i="4" s="1"/>
  <c r="F75" i="3"/>
  <c r="H105" i="3"/>
  <c r="H100" i="3"/>
  <c r="F70" i="3"/>
  <c r="F73" i="3"/>
  <c r="H103" i="3"/>
  <c r="E20" i="20"/>
  <c r="I78" i="3"/>
  <c r="F78" i="3" s="1"/>
  <c r="E78" i="3"/>
  <c r="O5" i="4" s="1"/>
  <c r="P5" i="4" s="1"/>
  <c r="F20" i="20"/>
  <c r="R20" i="20"/>
  <c r="F71" i="3"/>
  <c r="H101" i="3"/>
  <c r="I85" i="3"/>
  <c r="F85" i="3" s="1"/>
  <c r="E85" i="3"/>
  <c r="O12" i="4" s="1"/>
  <c r="P12" i="4" s="1"/>
  <c r="I84" i="3"/>
  <c r="F84" i="3" s="1"/>
  <c r="E84" i="3"/>
  <c r="O11" i="4" s="1"/>
  <c r="P11" i="4" s="1"/>
  <c r="F69" i="3"/>
  <c r="H99" i="3"/>
  <c r="I83" i="3"/>
  <c r="F83" i="3" s="1"/>
  <c r="E83" i="3"/>
  <c r="O10" i="4" s="1"/>
  <c r="P10" i="4" s="1"/>
  <c r="V7" i="6"/>
  <c r="C7" i="2"/>
  <c r="D7" i="2" s="1"/>
  <c r="I7" i="2" s="1"/>
  <c r="F76" i="3"/>
  <c r="H106" i="3"/>
  <c r="V13" i="6"/>
  <c r="C13" i="2"/>
  <c r="D13" i="2" s="1"/>
  <c r="I13" i="2" s="1"/>
  <c r="S21" i="20"/>
  <c r="G21" i="20"/>
  <c r="I81" i="3"/>
  <c r="F81" i="3" s="1"/>
  <c r="E81" i="3"/>
  <c r="O8" i="4" s="1"/>
  <c r="P8" i="4" s="1"/>
  <c r="D14" i="6"/>
  <c r="H97" i="3"/>
  <c r="F67" i="3"/>
  <c r="I80" i="3"/>
  <c r="F80" i="3" s="1"/>
  <c r="E80" i="3"/>
  <c r="O7" i="4" s="1"/>
  <c r="P7" i="4" s="1"/>
  <c r="I79" i="3"/>
  <c r="F79" i="3" s="1"/>
  <c r="E79" i="3"/>
  <c r="O6" i="4" s="1"/>
  <c r="P6" i="4" s="1"/>
  <c r="V10" i="6" l="1"/>
  <c r="G15" i="6"/>
  <c r="C11" i="2"/>
  <c r="D11" i="2" s="1"/>
  <c r="I11" i="2" s="1"/>
  <c r="C10" i="2"/>
  <c r="D10" i="2" s="1"/>
  <c r="I10" i="2" s="1"/>
  <c r="V8" i="6"/>
  <c r="C9" i="2"/>
  <c r="D9" i="2" s="1"/>
  <c r="I9" i="2" s="1"/>
  <c r="C12" i="2"/>
  <c r="D12" i="2" s="1"/>
  <c r="I12" i="2" s="1"/>
  <c r="E10" i="2"/>
  <c r="B10" i="2"/>
  <c r="R4" i="20"/>
  <c r="R3" i="20" s="1"/>
  <c r="U3" i="20" s="1"/>
  <c r="F4" i="20"/>
  <c r="T6" i="6"/>
  <c r="S6" i="6"/>
  <c r="Q14" i="6"/>
  <c r="S15" i="4"/>
  <c r="S14" i="4"/>
  <c r="F108" i="3"/>
  <c r="R5" i="6"/>
  <c r="F107" i="3"/>
  <c r="R4" i="6"/>
  <c r="R19" i="20"/>
  <c r="R15" i="20" s="1"/>
  <c r="Q19" i="20"/>
  <c r="Q15" i="20" s="1"/>
  <c r="I23" i="20"/>
  <c r="M14" i="4"/>
  <c r="M15" i="4"/>
  <c r="U23" i="20"/>
  <c r="F19" i="20"/>
  <c r="F15" i="20" s="1"/>
  <c r="E19" i="20"/>
  <c r="E15" i="20" s="1"/>
  <c r="E98" i="3"/>
  <c r="I5" i="4" s="1"/>
  <c r="I98" i="3"/>
  <c r="F98" i="3" s="1"/>
  <c r="O14" i="4"/>
  <c r="P4" i="4"/>
  <c r="G19" i="20"/>
  <c r="G15" i="20" s="1"/>
  <c r="E102" i="3"/>
  <c r="I9" i="4" s="1"/>
  <c r="I102" i="3"/>
  <c r="F102" i="3" s="1"/>
  <c r="I101" i="3"/>
  <c r="F101" i="3" s="1"/>
  <c r="E101" i="3"/>
  <c r="I8" i="4" s="1"/>
  <c r="E100" i="3"/>
  <c r="I7" i="4" s="1"/>
  <c r="I100" i="3"/>
  <c r="F100" i="3" s="1"/>
  <c r="F77" i="3"/>
  <c r="D21" i="20"/>
  <c r="I21" i="20" s="1"/>
  <c r="P21" i="20"/>
  <c r="U21" i="20" s="1"/>
  <c r="S19" i="20"/>
  <c r="S15" i="20" s="1"/>
  <c r="E103" i="3"/>
  <c r="I10" i="4" s="1"/>
  <c r="I103" i="3"/>
  <c r="F103" i="3" s="1"/>
  <c r="I105" i="3"/>
  <c r="F105" i="3" s="1"/>
  <c r="E105" i="3"/>
  <c r="I12" i="4" s="1"/>
  <c r="I97" i="3"/>
  <c r="E97" i="3"/>
  <c r="I4" i="4" s="1"/>
  <c r="E106" i="3"/>
  <c r="I13" i="4" s="1"/>
  <c r="I106" i="3"/>
  <c r="F106" i="3" s="1"/>
  <c r="E99" i="3"/>
  <c r="I6" i="4" s="1"/>
  <c r="I99" i="3"/>
  <c r="F99" i="3" s="1"/>
  <c r="E104" i="3"/>
  <c r="I11" i="4" s="1"/>
  <c r="I104" i="3"/>
  <c r="F104" i="3" s="1"/>
  <c r="S4" i="6" l="1"/>
  <c r="R14" i="6"/>
  <c r="U4" i="6"/>
  <c r="F3" i="20"/>
  <c r="I3" i="20" s="1"/>
  <c r="I4" i="20"/>
  <c r="B6" i="2"/>
  <c r="E6" i="2"/>
  <c r="E14" i="2" s="1"/>
  <c r="V6" i="6"/>
  <c r="T14" i="6"/>
  <c r="S5" i="6"/>
  <c r="U5" i="6"/>
  <c r="U4" i="20"/>
  <c r="J10" i="4"/>
  <c r="U10" i="4"/>
  <c r="P15" i="4"/>
  <c r="P14" i="4"/>
  <c r="J11" i="4"/>
  <c r="U11" i="4"/>
  <c r="J13" i="4"/>
  <c r="U13" i="4"/>
  <c r="J12" i="4"/>
  <c r="U12" i="4"/>
  <c r="J4" i="4"/>
  <c r="U4" i="4"/>
  <c r="I14" i="4"/>
  <c r="J7" i="4"/>
  <c r="U7" i="4"/>
  <c r="J9" i="4"/>
  <c r="U9" i="4"/>
  <c r="J6" i="4"/>
  <c r="U6" i="4"/>
  <c r="F97" i="3"/>
  <c r="P20" i="20"/>
  <c r="D20" i="20"/>
  <c r="J8" i="4"/>
  <c r="U8" i="4"/>
  <c r="J5" i="4"/>
  <c r="U5" i="4"/>
  <c r="V5" i="6" l="1"/>
  <c r="C5" i="2"/>
  <c r="D5" i="2" s="1"/>
  <c r="I5" i="2" s="1"/>
  <c r="C4" i="2"/>
  <c r="V4" i="6"/>
  <c r="U14" i="6"/>
  <c r="D6" i="2"/>
  <c r="I6" i="2" s="1"/>
  <c r="B14" i="2"/>
  <c r="S15" i="6"/>
  <c r="S14" i="6"/>
  <c r="V8" i="4"/>
  <c r="F8" i="2"/>
  <c r="G8" i="2" s="1"/>
  <c r="J8" i="2" s="1"/>
  <c r="V4" i="4"/>
  <c r="U14" i="4"/>
  <c r="F4" i="2"/>
  <c r="V13" i="4"/>
  <c r="F13" i="2"/>
  <c r="G13" i="2" s="1"/>
  <c r="J13" i="2" s="1"/>
  <c r="V6" i="4"/>
  <c r="F6" i="2"/>
  <c r="G6" i="2" s="1"/>
  <c r="J6" i="2" s="1"/>
  <c r="V7" i="4"/>
  <c r="F7" i="2"/>
  <c r="G7" i="2" s="1"/>
  <c r="J7" i="2" s="1"/>
  <c r="J14" i="4"/>
  <c r="J15" i="4"/>
  <c r="V5" i="4"/>
  <c r="F5" i="2"/>
  <c r="G5" i="2" s="1"/>
  <c r="J5" i="2" s="1"/>
  <c r="I20" i="20"/>
  <c r="D19" i="20"/>
  <c r="V12" i="4"/>
  <c r="F12" i="2"/>
  <c r="G12" i="2" s="1"/>
  <c r="J12" i="2" s="1"/>
  <c r="V11" i="4"/>
  <c r="F11" i="2"/>
  <c r="G11" i="2" s="1"/>
  <c r="J11" i="2" s="1"/>
  <c r="V10" i="4"/>
  <c r="F10" i="2"/>
  <c r="G10" i="2" s="1"/>
  <c r="J10" i="2" s="1"/>
  <c r="U20" i="20"/>
  <c r="P19" i="20"/>
  <c r="V9" i="4"/>
  <c r="F9" i="2"/>
  <c r="G9" i="2" s="1"/>
  <c r="J9" i="2" s="1"/>
  <c r="D4" i="2" l="1"/>
  <c r="C14" i="2"/>
  <c r="V15" i="6"/>
  <c r="V14" i="6"/>
  <c r="V14" i="4"/>
  <c r="V15" i="4"/>
  <c r="U19" i="20"/>
  <c r="P15" i="20"/>
  <c r="U15" i="20" s="1"/>
  <c r="I19" i="20"/>
  <c r="D15" i="20"/>
  <c r="I15" i="20" s="1"/>
  <c r="F14" i="2"/>
  <c r="G4" i="2"/>
  <c r="D14" i="2" l="1"/>
  <c r="I4" i="2"/>
  <c r="I14" i="2" s="1"/>
  <c r="J21" i="2" s="1"/>
  <c r="J17" i="2"/>
  <c r="B2" i="7" s="1"/>
  <c r="J4" i="2"/>
  <c r="J19" i="2"/>
  <c r="G14" i="2"/>
  <c r="O7" i="7" l="1"/>
  <c r="R7" i="7"/>
  <c r="L7" i="7"/>
  <c r="I7" i="7"/>
  <c r="F7" i="7"/>
  <c r="C7" i="7"/>
  <c r="C26" i="7"/>
  <c r="C42" i="7"/>
  <c r="K4" i="2"/>
  <c r="J14" i="2"/>
  <c r="J22" i="2" s="1"/>
  <c r="K5" i="2" l="1"/>
  <c r="K6" i="2" s="1"/>
  <c r="K7" i="2" s="1"/>
  <c r="K8" i="2" s="1"/>
  <c r="K9" i="2" s="1"/>
  <c r="K10" i="2" s="1"/>
  <c r="K11" i="2" s="1"/>
  <c r="K12" i="2" s="1"/>
  <c r="K13" i="2" s="1"/>
  <c r="L4" i="2"/>
  <c r="L5" i="2" l="1"/>
  <c r="L6" i="2" s="1"/>
  <c r="L7" i="2" s="1"/>
  <c r="L8" i="2" s="1"/>
  <c r="L9" i="2" s="1"/>
  <c r="L10" i="2" s="1"/>
  <c r="L11" i="2" s="1"/>
  <c r="L12" i="2" s="1"/>
  <c r="L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KPMG</author>
  </authors>
  <commentList>
    <comment ref="I14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ocakavame zapornu hodnotu
tato zaporna hodnota ma zodpovedat max. fin. pomoci z SF</t>
        </r>
      </text>
    </comment>
    <comment ref="J14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ocakavame kladnu hodnotu (moze byt aj nizko nad nulou)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Krok Martin</author>
  </authors>
  <commentList>
    <comment ref="AG47" authorId="0" shapeId="0" xr:uid="{00000000-0006-0000-0D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Krok Martin</author>
  </authors>
  <commentList>
    <comment ref="AG12" authorId="0" shapeId="0" xr:uid="{00000000-0006-0000-0F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H12" authorId="0" shapeId="0" xr:uid="{00000000-0006-0000-0F00-000002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I12" authorId="0" shapeId="0" xr:uid="{00000000-0006-0000-0F00-000003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P12" authorId="0" shapeId="0" xr:uid="{00000000-0006-0000-0F00-000004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sharedStrings.xml><?xml version="1.0" encoding="utf-8"?>
<sst xmlns="http://schemas.openxmlformats.org/spreadsheetml/2006/main" count="1571" uniqueCount="399">
  <si>
    <t>Názov</t>
  </si>
  <si>
    <t>Popis</t>
  </si>
  <si>
    <t>Hodnota</t>
  </si>
  <si>
    <t>Životnosť projektu (t)</t>
  </si>
  <si>
    <t>Referenčné obdobie je počet rokov, na ktorý sa vo finančnej analýze (analýze nákladov a výnosov) uvádzajú predpovede. Predpovede týkajúce sa budúceho trendu projektu by sa mali formulovať na obdobie, ktoré je primerané jeho ekonomicky užitočnému trvaniu a ktoré je dosť dlhé na to, aby zahŕňalo jeho pravdepodobné dlhodobejšie dosahy. Ide o časové obdobie, kedy je možné overiť úspešnosť investície. Trvanie sa mení podľa povahy investície. Referenčný časový horizont v rokoch podľa sektorov je uvedený podľa prílohy 1 Delegovaného nariadenia Komisie (EÚ) 480/2014 z 3. marca 2014, ktorým sa dopĺňa všeobecné nariadenie.</t>
  </si>
  <si>
    <t>Referenčná diskontná sadzba (i)</t>
  </si>
  <si>
    <t>Sociálna diskontná sadzba (r)</t>
  </si>
  <si>
    <t>Cieľom CBA je preukázať pri štrukturálne významných investíciách, že ekonomická čistá súčasná hodnota za dané obdobie a pri stanovenej sociálnej diskontnej sadzbe je kladná.</t>
  </si>
  <si>
    <t>Diskontovanie odhadovaných nákladov a prínosov: keď sa odhadne tok ekonomických nákladov a prínosov, mala by sa uplatniť štandardná diskontovaná metodika peňažného toku pomocou sociálnej diskontnej sadzby</t>
  </si>
  <si>
    <t>Osobné náklady (Cper)</t>
  </si>
  <si>
    <t>Jednotka</t>
  </si>
  <si>
    <t>rok</t>
  </si>
  <si>
    <t>%</t>
  </si>
  <si>
    <t>EUR</t>
  </si>
  <si>
    <t xml:space="preserve">Diskontná sadzba, ktorá sa má používať vo finančnej analýze má informovať investora o alternatívnych kapitálových nákladoch. Môže sa za ňu považovať ušlý výnos najlepšieho alternatívneho projektu.
V prípade verejných investičných projektov spolufinancovaných z fondov sa stanovuje 4 % finančná diskontná sadzbu pre výpočet čistej súčasnej hodnoty investície v stálych cenách roku predloženia žiadosti o NFP.
</t>
  </si>
  <si>
    <t>EUR/hod</t>
  </si>
  <si>
    <t>Čistá súčasná hodnota z projektu</t>
  </si>
  <si>
    <t>Finančné prínosy</t>
  </si>
  <si>
    <t>Ekonomické prínosy</t>
  </si>
  <si>
    <t>koeficient obdobia</t>
  </si>
  <si>
    <t>Finančná (FNPV)</t>
  </si>
  <si>
    <t>Ekonomická (ENPV)</t>
  </si>
  <si>
    <t>Kumulovaná diskont. návratnosť ENPV</t>
  </si>
  <si>
    <t>Obdobie</t>
  </si>
  <si>
    <t>rozdiel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</si>
  <si>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</si>
  <si>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</si>
  <si>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</si>
  <si>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</si>
  <si>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</si>
  <si>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</si>
  <si>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</si>
  <si>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</si>
  <si>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</si>
  <si>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</si>
  <si>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SPOLU</t>
  </si>
  <si>
    <t>Cashflow projektu</t>
  </si>
  <si>
    <t>počet / rok</t>
  </si>
  <si>
    <t>hod.</t>
  </si>
  <si>
    <t>Kvalitatívne prínosy</t>
  </si>
  <si>
    <t>Parameter</t>
  </si>
  <si>
    <t>Počet podaní</t>
  </si>
  <si>
    <t>Výška administratívneho poplatku</t>
  </si>
  <si>
    <t>Počet zamestnancov vybavujúcich agendu</t>
  </si>
  <si>
    <t>Priame prínosy</t>
  </si>
  <si>
    <t>Nepriame prínosy</t>
  </si>
  <si>
    <t>Prínosy spolu</t>
  </si>
  <si>
    <t>Administratívne poplatky</t>
  </si>
  <si>
    <t>Ostatné daňové a nedaňové príjmy</t>
  </si>
  <si>
    <t>Cena ušetreného času používateľa</t>
  </si>
  <si>
    <t>Kvalitatívne prínosy vo finančnom vyjadrení</t>
  </si>
  <si>
    <t>Organizácia</t>
  </si>
  <si>
    <t>Ulica</t>
  </si>
  <si>
    <t>PSČ</t>
  </si>
  <si>
    <t>Web</t>
  </si>
  <si>
    <t>IČO</t>
  </si>
  <si>
    <t>Spracovateľ</t>
  </si>
  <si>
    <t xml:space="preserve">Kontakt na spracovateľa    </t>
  </si>
  <si>
    <t>Hlavička tabuľky</t>
  </si>
  <si>
    <t>Popisná informácia</t>
  </si>
  <si>
    <t>Metodický pokyn k vypracovaniu finančnej analýzy projektu, analýzy nákladov a prínosov projektu a finančnej analýzy žiadateľa o NFP v programovom období 2014 – 2020.</t>
  </si>
  <si>
    <t>Jednotlivé informácie sú farebne odlíšené nasledovne:</t>
  </si>
  <si>
    <t>Automaticky vypočitavané hodnoty</t>
  </si>
  <si>
    <t>Miesto na vpisovanie vlastných hodnôt</t>
  </si>
  <si>
    <t>Preddefinované konštanty</t>
  </si>
  <si>
    <t>Pre projekty zamerané na služby agendových informačných systémov</t>
  </si>
  <si>
    <t>HW</t>
  </si>
  <si>
    <t>SW</t>
  </si>
  <si>
    <t>Všeobecný materiál</t>
  </si>
  <si>
    <t>Variabilné výdavky</t>
  </si>
  <si>
    <t>Výdavky spolu</t>
  </si>
  <si>
    <t>ENPV</t>
  </si>
  <si>
    <t>Obstaranie, inštalácia SW produktu vrátane licencie k SW</t>
  </si>
  <si>
    <t>013 Softvér</t>
  </si>
  <si>
    <t>Kód EKO klasifikácie</t>
  </si>
  <si>
    <t>Účet/skupina výdavkov</t>
  </si>
  <si>
    <t>Vytvorenie aplikácie</t>
  </si>
  <si>
    <t>Školenia spojené so SW a aplikáciou</t>
  </si>
  <si>
    <t>518 Ostatné služby</t>
  </si>
  <si>
    <t>Prevádzka vytvoreného riešenia</t>
  </si>
  <si>
    <t>Poplatky vlastníkovi SW produktu - údržba / support k licenciám</t>
  </si>
  <si>
    <t>511 Opravy a udržiavanie</t>
  </si>
  <si>
    <t>Upgrade SW produktu</t>
  </si>
  <si>
    <t>Poplatky za udržanie funkčnosti / dostupnosti aplikácie / update</t>
  </si>
  <si>
    <t>Aplikačná podpora / helpdesk</t>
  </si>
  <si>
    <t>Rozvoj - doplnenie funkcionality aplikácie / upgrade</t>
  </si>
  <si>
    <t>Personálne náklady spojené s prevádzkou SW produktu a aplikácie</t>
  </si>
  <si>
    <t>521 Mzdové výdavky</t>
  </si>
  <si>
    <t>Obstaranie</t>
  </si>
  <si>
    <t>Prevádzka riešenia</t>
  </si>
  <si>
    <t>Nákup, inštalácia a sprevádzkovanie HW 
vrátane systémového SW</t>
  </si>
  <si>
    <t>Nákup, inštalácia a sprevádzkovanie HW
 vrátane systémového SW</t>
  </si>
  <si>
    <t>Školenia spojené s HW</t>
  </si>
  <si>
    <t>022 Samostatné hnuteľné veci
 a súbory hnuteľných vecí</t>
  </si>
  <si>
    <t>Poplatky dodávateľovi podpory HW - údržba/maintenance</t>
  </si>
  <si>
    <t>Upgrade HW</t>
  </si>
  <si>
    <t>Náklady na priestory, energie</t>
  </si>
  <si>
    <t>Personálne náklady spojené s prevádzkou HW</t>
  </si>
  <si>
    <t>Náklady na obstaranie a prevádzku HW</t>
  </si>
  <si>
    <t>Náklady na obstaranie a prevádzku SW</t>
  </si>
  <si>
    <t>Celkové náklady na vlastníctvo (TCO)</t>
  </si>
  <si>
    <t>Rok</t>
  </si>
  <si>
    <t>HW sumár obstaranie</t>
  </si>
  <si>
    <t>HW sumár prevádzka</t>
  </si>
  <si>
    <t xml:space="preserve">Spolu </t>
  </si>
  <si>
    <t>Spolu</t>
  </si>
  <si>
    <t>SW produkty</t>
  </si>
  <si>
    <t>Aplikácie</t>
  </si>
  <si>
    <t>SW produkty - sumár obstaranie</t>
  </si>
  <si>
    <t>SW produkty - sumár prevádzka</t>
  </si>
  <si>
    <t>Aplikácie - sumár obstaranie</t>
  </si>
  <si>
    <t>Aplikácie - sumár prevádzka</t>
  </si>
  <si>
    <t xml:space="preserve">Prvý rok, ktorým výpočet CBA a TCO začína, rok začatia projektu </t>
  </si>
  <si>
    <t>Príloha pre výpočet TCO a čistej súčasnej hodnoty z projektu</t>
  </si>
  <si>
    <t>Názov riešenia</t>
  </si>
  <si>
    <t>112 Zásoby</t>
  </si>
  <si>
    <t>Náklady na existujúce riešenie
(pôvodné riešenie pred realizáciou projektu OP II), ktoré bolo nahradené</t>
  </si>
  <si>
    <t>Kód ISVS z MetaIS</t>
  </si>
  <si>
    <t>Číslo projektu ITMS</t>
  </si>
  <si>
    <t>Vytvorenie riešenia - obstaranie</t>
  </si>
  <si>
    <t>BCR</t>
  </si>
  <si>
    <t>Výstup/funkcionalita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</si>
  <si>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</si>
  <si>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</si>
  <si>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</si>
  <si>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</si>
  <si>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</si>
  <si>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</si>
  <si>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</si>
  <si>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</si>
  <si>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</si>
  <si>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</si>
  <si>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</si>
  <si>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</si>
  <si>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</si>
  <si>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</si>
  <si>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</si>
  <si>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</si>
  <si>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</si>
  <si>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</si>
  <si>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</si>
  <si>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</si>
  <si>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</si>
  <si>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</si>
  <si>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M24</t>
  </si>
  <si>
    <t>Počet dní interné</t>
  </si>
  <si>
    <t>Počet dní externé</t>
  </si>
  <si>
    <t>Pocet FTE interne</t>
  </si>
  <si>
    <t>Pocet FTE externe</t>
  </si>
  <si>
    <t>Rate FTE interné</t>
  </si>
  <si>
    <t>Rate FTE externé</t>
  </si>
  <si>
    <t>Suma interné</t>
  </si>
  <si>
    <t>Suma externé</t>
  </si>
  <si>
    <t xml:space="preserve">   Implementácia služieb </t>
  </si>
  <si>
    <t xml:space="preserve">   Testovanie služieb </t>
  </si>
  <si>
    <t xml:space="preserve">   Nasadenie</t>
  </si>
  <si>
    <t>Integrácie a migrácie</t>
  </si>
  <si>
    <t xml:space="preserve">   Podora pri realizácii integrácií a migrácií IS VS </t>
  </si>
  <si>
    <t>Publicita a informovanosť</t>
  </si>
  <si>
    <t xml:space="preserve">Projektové riadenie </t>
  </si>
  <si>
    <t>INDIKATÍVNY ROZPOČET SPOLU</t>
  </si>
  <si>
    <t>Rozdiel</t>
  </si>
  <si>
    <t>NPV</t>
  </si>
  <si>
    <t>HW (aj systémový SW) sumár obstaranie</t>
  </si>
  <si>
    <t>HW (aj systémový SW) sumár prevádzka</t>
  </si>
  <si>
    <t xml:space="preserve"> </t>
  </si>
  <si>
    <t>Modul 2</t>
  </si>
  <si>
    <t>Modul 3</t>
  </si>
  <si>
    <t>Modul 4</t>
  </si>
  <si>
    <t>Modul 5</t>
  </si>
  <si>
    <t>Modul6</t>
  </si>
  <si>
    <t>Modul N</t>
  </si>
  <si>
    <t>Modul 1 (príklad)</t>
  </si>
  <si>
    <t>organizácia A</t>
  </si>
  <si>
    <t>organizácia B</t>
  </si>
  <si>
    <t>organizácia C</t>
  </si>
  <si>
    <t>TO BE</t>
  </si>
  <si>
    <t>organizácia ...</t>
  </si>
  <si>
    <t>Výsledná hodnota</t>
  </si>
  <si>
    <t>Všetky prínosové položky sú automaticky vypočítané na základe údajov uvedených v záložkách TCO, spotrebované cloudové služby a Parametre - Agendové IS</t>
  </si>
  <si>
    <t>Všetky výdavkové položky sú automaticky vypočítané na základe údajov uvedených v záložkách TCO a Parametre - Agendové IS</t>
  </si>
  <si>
    <t>FIRR</t>
  </si>
  <si>
    <t>EIRR</t>
  </si>
  <si>
    <t>FNPV</t>
  </si>
  <si>
    <t>pomer prínosov a nákladov</t>
  </si>
  <si>
    <t>finančná vnútorná výnosová miera (%)</t>
  </si>
  <si>
    <t>ekonomická vnútorná výnosová miera (%)</t>
  </si>
  <si>
    <t>Minimálna hodnota</t>
  </si>
  <si>
    <t>-</t>
  </si>
  <si>
    <t>Výsledok CBA</t>
  </si>
  <si>
    <t>Priemerná mzda vo verejnej správe (aktuálna, W_ps)</t>
  </si>
  <si>
    <t xml:space="preserve">Priemerná mzda v NH (Cperc) </t>
  </si>
  <si>
    <t>Náklady IT systém</t>
  </si>
  <si>
    <t>FTE úradník</t>
  </si>
  <si>
    <t>FTE</t>
  </si>
  <si>
    <t>Administrtívny poplatok</t>
  </si>
  <si>
    <t>človeko-hod.</t>
  </si>
  <si>
    <t>Cena ušetreného času používateľa
(S pravidlom polovice)</t>
  </si>
  <si>
    <t>Cena ušetreného času úradníka</t>
  </si>
  <si>
    <r>
      <t xml:space="preserve">Materiálové náklady na 1 podanie </t>
    </r>
    <r>
      <rPr>
        <i/>
        <sz val="11"/>
        <color theme="1"/>
        <rFont val="Calibri"/>
        <family val="2"/>
        <charset val="238"/>
        <scheme val="minor"/>
      </rPr>
      <t xml:space="preserve">(napr. Poštovné (0,83 EUR)+Tlač (0,02 EUR)+Papier (0,01 EUR)+Obálka (0,03 EUR). Zhotoviteľ štúdie doplní skutočné náklady)
</t>
    </r>
  </si>
  <si>
    <t>Materiálové náklady</t>
  </si>
  <si>
    <t>Náklady na budúce riešenie</t>
  </si>
  <si>
    <t>Čas potrebný na vypracovanie a doručenie podania (ušetrený čas používateľa)</t>
  </si>
  <si>
    <t>Trvanie spracovania podania (ušetrený čas úradníka)</t>
  </si>
  <si>
    <t>Zníženie kvalitatívnych prínosov</t>
  </si>
  <si>
    <t>Zníženie očakávaného ušetreného času úradníka</t>
  </si>
  <si>
    <t>Zníženie očakávaného ušetreného času používateľa</t>
  </si>
  <si>
    <t>Zníženie počtu podaní v budúcom stave</t>
  </si>
  <si>
    <t>Zvýšenie nákladov - TCO celkovo</t>
  </si>
  <si>
    <t>Zvýšenie CAPEX</t>
  </si>
  <si>
    <t>Minimálny počet MD</t>
  </si>
  <si>
    <t>Maximálny počet MD</t>
  </si>
  <si>
    <t>Priemerný MD rate</t>
  </si>
  <si>
    <t xml:space="preserve">Modul 1 </t>
  </si>
  <si>
    <t>Maximálna suma</t>
  </si>
  <si>
    <t>Minimálna suma</t>
  </si>
  <si>
    <t>Vyplní oslovený dodávateľ</t>
  </si>
  <si>
    <t>Ročná prevádzka celého systému (SLA) vrátane zmenových konaní</t>
  </si>
  <si>
    <t>Vyplní spracovateľ projektu</t>
  </si>
  <si>
    <t>Výstup/funkcionalita projektu
(všetky náklady vrátane analýzy, dizajnu, testovania a nasadenia)</t>
  </si>
  <si>
    <t>Vysvetlenie rozptylu medzi minimálnou a maximálnou sumou 
(nepovinné)</t>
  </si>
  <si>
    <t>Rozdiel v nákladoch medzi existujúcim a navrhovaným riešením</t>
  </si>
  <si>
    <t>Modul 1</t>
  </si>
  <si>
    <t>Prínosy</t>
  </si>
  <si>
    <t xml:space="preserve">Úradníci (€) </t>
  </si>
  <si>
    <t>Občania (€)</t>
  </si>
  <si>
    <t>Úradníci (FTE)</t>
  </si>
  <si>
    <t>IT - CAPEX</t>
  </si>
  <si>
    <t>IT - OPEX</t>
  </si>
  <si>
    <t>N/A</t>
  </si>
  <si>
    <t>Nevyčíslené spoločenské prínosy</t>
  </si>
  <si>
    <t>...</t>
  </si>
  <si>
    <t>Aplikačný modul - SW a Aplikácie</t>
  </si>
  <si>
    <t>Aplikačný modul - HW</t>
  </si>
  <si>
    <t>(prosíme doplniť)...</t>
  </si>
  <si>
    <r>
      <t xml:space="preserve">Sem prosím vložte procesnú mapu stavu </t>
    </r>
    <r>
      <rPr>
        <b/>
        <sz val="11"/>
        <color theme="1"/>
        <rFont val="Calibri"/>
        <family val="2"/>
        <charset val="238"/>
        <scheme val="minor"/>
      </rPr>
      <t>AS IS</t>
    </r>
    <r>
      <rPr>
        <sz val="11"/>
        <color theme="1"/>
        <rFont val="Calibri"/>
        <family val="2"/>
        <charset val="238"/>
        <scheme val="minor"/>
      </rPr>
      <t xml:space="preserve"> a stavu </t>
    </r>
    <r>
      <rPr>
        <b/>
        <sz val="11"/>
        <color theme="1"/>
        <rFont val="Calibri"/>
        <family val="2"/>
        <charset val="238"/>
        <scheme val="minor"/>
      </rPr>
      <t>TO BE</t>
    </r>
  </si>
  <si>
    <t>napr.</t>
  </si>
  <si>
    <t>AS IS</t>
  </si>
  <si>
    <t>Procesy na strane úradníka (časové hodnoty)</t>
  </si>
  <si>
    <t>Proces č. 1</t>
  </si>
  <si>
    <t>Procesný krok č. 1</t>
  </si>
  <si>
    <t>Procesný krok č. 2</t>
  </si>
  <si>
    <t>Procesný krok č. 3</t>
  </si>
  <si>
    <t>Proces č. 2</t>
  </si>
  <si>
    <t>Zdroj</t>
  </si>
  <si>
    <t>prosím uveďte zdroj, v prípade vzorového prieskumu prosím vyplňte hodnoty za jednotlivé merania</t>
  </si>
  <si>
    <t>Meranie č. 1</t>
  </si>
  <si>
    <t>Meranie č. 2</t>
  </si>
  <si>
    <t>Meranie č. 3</t>
  </si>
  <si>
    <t>Meranie č. 4</t>
  </si>
  <si>
    <t>Meranie č. 5</t>
  </si>
  <si>
    <t>Meranie č. 6</t>
  </si>
  <si>
    <t>Meranie č. 7</t>
  </si>
  <si>
    <t>Meranie č. 8</t>
  </si>
  <si>
    <t>Meranie č. 9</t>
  </si>
  <si>
    <t>Meranie č. 10</t>
  </si>
  <si>
    <t>Meranie č. 11</t>
  </si>
  <si>
    <t>Meranie č. 12</t>
  </si>
  <si>
    <t>Meranie č. 13</t>
  </si>
  <si>
    <t>Meranie č. 14</t>
  </si>
  <si>
    <t>Meranie č. 15</t>
  </si>
  <si>
    <t>Meranie č. 16</t>
  </si>
  <si>
    <t>Meranie č. 17</t>
  </si>
  <si>
    <t>Meranie č. 18</t>
  </si>
  <si>
    <t>Meranie č. 19</t>
  </si>
  <si>
    <t>Meranie č. 20</t>
  </si>
  <si>
    <t>Meranie č. 21</t>
  </si>
  <si>
    <t>Meranie č. 22</t>
  </si>
  <si>
    <t>Meranie č. 23</t>
  </si>
  <si>
    <t>Meranie č. 24</t>
  </si>
  <si>
    <t>Meranie č. 25</t>
  </si>
  <si>
    <t>Meranie č. 26</t>
  </si>
  <si>
    <t>Meranie č. 27</t>
  </si>
  <si>
    <t>Meranie č. 28</t>
  </si>
  <si>
    <t>Meranie č. 29</t>
  </si>
  <si>
    <t>Meranie č. 30</t>
  </si>
  <si>
    <t>Procesy na strane občana (časové hodnoty)</t>
  </si>
  <si>
    <t>prosím doplňte časové trvanie aktivity (vložením "1")</t>
  </si>
  <si>
    <t>Zoznam hárkov s vysvetlením a pokynmi</t>
  </si>
  <si>
    <t>Sumarizácia</t>
  </si>
  <si>
    <t>CBA</t>
  </si>
  <si>
    <t>Analyza citlivosti</t>
  </si>
  <si>
    <t>Výdavky</t>
  </si>
  <si>
    <t>Parametre</t>
  </si>
  <si>
    <t>TCO</t>
  </si>
  <si>
    <t>TCO Alt. 1 - SW</t>
  </si>
  <si>
    <t>TCO Alt. 1 - HW</t>
  </si>
  <si>
    <t>TCO Alt. 2 - SW</t>
  </si>
  <si>
    <t>TCO Alt. 2 - HW</t>
  </si>
  <si>
    <t>Rozpočet - vývoj aplikácii</t>
  </si>
  <si>
    <t>Rozdiel
(voči min. riešenia navrhovaneho obstarávateĹom)</t>
  </si>
  <si>
    <t>Popis zmien v alternatívnom riešení
(nepovinné)</t>
  </si>
  <si>
    <t>Alternatívne riešeine
(nepovinné)</t>
  </si>
  <si>
    <t>Riešenie navrhované obstarávateľom</t>
  </si>
  <si>
    <t>Slepý rozpočet</t>
  </si>
  <si>
    <t>Faktory</t>
  </si>
  <si>
    <t>Meranie prínosov</t>
  </si>
  <si>
    <t>Procesné mapy</t>
  </si>
  <si>
    <t>Procesy AS IS</t>
  </si>
  <si>
    <t>Procesy TO BE</t>
  </si>
  <si>
    <t>Hárok</t>
  </si>
  <si>
    <t>Účel hárku</t>
  </si>
  <si>
    <t>Vymenovanie a popísanie nevyčíslených spoločenských prínosov</t>
  </si>
  <si>
    <t>Sumarizácia výsledkov CBA podľa prínosov a modulov</t>
  </si>
  <si>
    <t>Výsledky CBA na agregátnej úrovni, výpočet BCR</t>
  </si>
  <si>
    <t>Žiadne</t>
  </si>
  <si>
    <t>Vstupy od zhotoviteľa (žlté polia)</t>
  </si>
  <si>
    <t>Automatický výpočet citlivosti výsledkov CBA na zmeny parametrov</t>
  </si>
  <si>
    <t>Výpočet prínosov projektu na základe vstupných parametrov</t>
  </si>
  <si>
    <t>Výpočet výdavkov projektu na základe vstupných parametrov</t>
  </si>
  <si>
    <t>Polia "Ostatné daňové a nedaňové príjmy" (ak projekt také generuje)</t>
  </si>
  <si>
    <t>Vstupné parametre pre jednotlivé moduly/životné situácie: počty podaní, trvania času</t>
  </si>
  <si>
    <t>Všetky relevantné žlté polia</t>
  </si>
  <si>
    <t>Zhrnutie celkových nákladov na vlastníctvo oboch alternatív projektu</t>
  </si>
  <si>
    <t xml:space="preserve">Náklady na vlastníctvo softvéru alternatívy 1 (AS IS) </t>
  </si>
  <si>
    <t xml:space="preserve">Náklady na vlastníctvo hardvéru alternatívy 1 (AS IS) </t>
  </si>
  <si>
    <t xml:space="preserve">Náklady na vlastníctvo softvéru alternatívy 2 (TO BE) </t>
  </si>
  <si>
    <t>Náklady na vlastníctvo hardvéru alternatívy 2 (TO BE)</t>
  </si>
  <si>
    <t>Všetky relevantné žlté polia a časové trvanie projektu</t>
  </si>
  <si>
    <t>Vyplnia dodávateľia, oslovení v procese trhovej konzultácie</t>
  </si>
  <si>
    <t>Zoznam modulov s ich opisom a harmonogramom</t>
  </si>
  <si>
    <t>Spoločné vstupné parametre pre ocenenie prínosov a výpočet CBA</t>
  </si>
  <si>
    <t>Aktuálne priemerné mzdy v hospodárstve podľa ŠÚ SR, rok začiatku projektu</t>
  </si>
  <si>
    <t xml:space="preserve">Slúži na rozdelenie prínosov podľa jednotlivých úradov (ak je to možné) 
a na ex-post monitorovanie dosahovania prínosov. </t>
  </si>
  <si>
    <t xml:space="preserve">V procese prípravy štúdie vyplní iba žlté stĺpce označené ako "Alt. 2", ktoré rozdeľujú prínosy podľa úradov </t>
  </si>
  <si>
    <t>Procesné mapy súčasného a budúceho stavu biznis procesov.</t>
  </si>
  <si>
    <t>Procesné mapy ako obrázky.</t>
  </si>
  <si>
    <t xml:space="preserve">Zdroj dát pre odhad časovej náročnosti súčasných procesov. </t>
  </si>
  <si>
    <t xml:space="preserve">Zdroj dát pre odhad časovej náročnosti budúcich procesov. </t>
  </si>
  <si>
    <t>Relevantné merania podľa procesov a procesných krokov.</t>
  </si>
  <si>
    <t>Riadenie projektu</t>
  </si>
  <si>
    <t xml:space="preserve">   Analýza a dizajn</t>
  </si>
  <si>
    <t>Riadenie a publicita</t>
  </si>
  <si>
    <t>Projektové riadenie</t>
  </si>
  <si>
    <t>Počet podaní / volaní</t>
  </si>
  <si>
    <t>Priemerná mesačná hrubá mzda vo verejnej správe za 1. - 4. Q./2017 (obdobie aktualizovať k času predloženia dokumentu), podľa ŠÚ SR</t>
  </si>
  <si>
    <t>Priemerná mesačná hrubá mzda v národnom hospodárstve SR za 1. - 4. Q./2017 (obdobie aktualizovať k času predloženia dokumentu), podľa ŠÚ SR</t>
  </si>
  <si>
    <t>Fond pracovnej doby - VS (FPDvs)</t>
  </si>
  <si>
    <t>hod/rok</t>
  </si>
  <si>
    <t>Fond pracovnej doby - NH (FPDnh)</t>
  </si>
  <si>
    <t xml:space="preserve">Cper = (W_ps * Odvody) / Fond pracovnej doby. Odvody (SP, ZP, DP) sú 35,2%“. Osobné náklady sú faktorom prevádzkových variabilných nákladov.
</t>
  </si>
  <si>
    <t>Rok 2019 má dokopy 250 pracovných dní, t.j. 2000 pracovných hodín. S platenými sviatkami má rok 261 pracovných dní, t.j. 2088 pracovných hodín.. 8 hodinový pracovný čas (obdobie aktualizovať k času predloženia dokumentu), podľa https://calendar.zoznam.sk/worktime-sksk.php?hy=2019</t>
  </si>
  <si>
    <t>Rok 2019 má dokopy 250 pracovných dní, t.j. 1875 pracovných hodín. S platenými sviatkami má rok 261 pracovných dní, t.j. 1957.5 pracovných hodín. 7,5 hodinový pracovný čas (obdobie aktualizovať k času predloženia dokumentu), podľa https://calendar.zoznam.sk/worktime-sksk.php?hy=2019</t>
  </si>
  <si>
    <t>Položka</t>
  </si>
  <si>
    <t>Merná jednotka</t>
  </si>
  <si>
    <t>Počet</t>
  </si>
  <si>
    <t>Jednotková cena (eur)</t>
  </si>
  <si>
    <t>Celková suma (eur)</t>
  </si>
  <si>
    <t>Zdroj ceny</t>
  </si>
  <si>
    <t>Licencia ORACLE</t>
  </si>
  <si>
    <t>ks</t>
  </si>
  <si>
    <t>Blade server HP</t>
  </si>
  <si>
    <t>Rozpočet - HW a licencie</t>
  </si>
  <si>
    <t>Detailný rozpočet pre vývoj navrhovaného riešenia (TO BE)</t>
  </si>
  <si>
    <t>Položkový rozpočet pre nákup licencií a HW (TO BE)</t>
  </si>
  <si>
    <t>Nákup krabicového SW</t>
  </si>
  <si>
    <t>Dodatočná úprava krabicového SW / Vývoj riešenia</t>
  </si>
  <si>
    <t>Názov SW</t>
  </si>
  <si>
    <t>počet kusov</t>
  </si>
  <si>
    <t>Cena za kus</t>
  </si>
  <si>
    <t>Cena spolu</t>
  </si>
  <si>
    <t>637003/637004</t>
  </si>
  <si>
    <t>Integrácie a migrácie (modulov)</t>
  </si>
  <si>
    <t>Výstupné náklady</t>
  </si>
  <si>
    <t>Zmluvné poplaky</t>
  </si>
  <si>
    <t>Technologické požiadavky</t>
  </si>
  <si>
    <t>SW a Aplikácie - výstupné náklady</t>
  </si>
  <si>
    <t>SW a Aplikácie - Výstupné náklady</t>
  </si>
  <si>
    <t>Popis
(Vrátane zdôvodnenia zvoleného technologického variantu - IaaS, PaaS, vývoj vlastnej aplikácie, COTS riešenie)</t>
  </si>
  <si>
    <t>"Out of scope" - HW nesúvisiaci priamo s projektom</t>
  </si>
  <si>
    <t>Aho</t>
  </si>
  <si>
    <t>Koncová služba</t>
  </si>
  <si>
    <t>Koncová služba 1</t>
  </si>
  <si>
    <t>Koncová služba 2</t>
  </si>
  <si>
    <t>Koncová služba N</t>
  </si>
  <si>
    <t>Koncová služba 3, Koncová služba 4</t>
  </si>
  <si>
    <t>TO BE - AS IS (€, NPV)</t>
  </si>
  <si>
    <t>TO BE - AS IS (€, SUM)</t>
  </si>
  <si>
    <t>Kontrola TO BE</t>
  </si>
  <si>
    <t>Finančný cashflow (s DPH)</t>
  </si>
  <si>
    <t>Ekonomický cashflow (bez DPH)</t>
  </si>
  <si>
    <t>Náklady s DPH</t>
  </si>
  <si>
    <t>ekonomická čistá súčasná hodnota (eur bez DPH)</t>
  </si>
  <si>
    <t>finančná čistá súčasná hodnota (eur s DPH)</t>
  </si>
  <si>
    <t>isvs_10328</t>
  </si>
  <si>
    <t>Inteligentné prvky správy mesta</t>
  </si>
  <si>
    <t>Námestie gen. M. R. Štefánika 1</t>
  </si>
  <si>
    <t>www.brezno.sk</t>
  </si>
  <si>
    <t>Mestský úrad Brezno</t>
  </si>
  <si>
    <t>00313319</t>
  </si>
  <si>
    <t>Mgr. Milada Medveďová</t>
  </si>
  <si>
    <t>0911996016
milada.medvedova@brezno.sk</t>
  </si>
  <si>
    <t>Monitorovanie parkovania</t>
  </si>
  <si>
    <t>Monitorovanie bezpečnosti</t>
  </si>
  <si>
    <t>Monitorovanie kvality ovzdušia</t>
  </si>
  <si>
    <t>SOS hláska</t>
  </si>
  <si>
    <t>Poskytovanie informácií</t>
  </si>
  <si>
    <t>Monitorovanie osvetlenia</t>
  </si>
  <si>
    <t>Spracovanie a analýza dát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</si>
</sst>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#,##0_ ;\-#,##0;\-;@"/>
    <numFmt numFmtId="168" formatCode="0.00;\-0.00;\-;@"/>
  </numFmts>
  <fonts count="7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18"/>
      <name val="Arial"/>
      <family val="2"/>
      <charset val="238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FA7D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2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A7D00"/>
      <name val="Calibri"/>
      <family val="2"/>
      <charset val="238"/>
      <scheme val="minor"/>
    </font>
    <font>
      <sz val="8"/>
      <color rgb="FFFA7D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6100"/>
      <name val="Arial Narrow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b/>
      <sz val="9"/>
      <color theme="5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thin">
        <color rgb="FFB2B2B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auto="1"/>
      </right>
      <top/>
      <bottom style="thin">
        <color theme="2" tint="-0.249977111117893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medium">
        <color auto="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16" applyNumberFormat="0" applyAlignment="0" applyProtection="0"/>
    <xf numFmtId="0" fontId="2" fillId="5" borderId="17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808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0" fillId="7" borderId="26" xfId="0" applyFill="1" applyBorder="1" applyAlignment="1">
      <alignment vertical="top" wrapText="1"/>
    </xf>
    <xf numFmtId="0" fontId="11" fillId="7" borderId="5" xfId="0" applyFont="1" applyFill="1" applyBorder="1" applyAlignment="1">
      <alignment vertical="top" wrapText="1"/>
    </xf>
    <xf numFmtId="0" fontId="9" fillId="7" borderId="0" xfId="0" applyFont="1" applyFill="1" applyBorder="1" applyAlignment="1">
      <alignment horizontal="center" vertical="top" wrapText="1"/>
    </xf>
    <xf numFmtId="0" fontId="0" fillId="6" borderId="18" xfId="0" applyFill="1" applyBorder="1" applyAlignment="1">
      <alignment horizontal="left" vertical="top" wrapText="1"/>
    </xf>
    <xf numFmtId="0" fontId="9" fillId="7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11" fillId="7" borderId="27" xfId="0" applyFont="1" applyFill="1" applyBorder="1" applyAlignment="1">
      <alignment vertical="top" wrapText="1"/>
    </xf>
    <xf numFmtId="0" fontId="0" fillId="7" borderId="24" xfId="0" applyFill="1" applyBorder="1" applyAlignment="1">
      <alignment vertical="top" wrapText="1"/>
    </xf>
    <xf numFmtId="0" fontId="11" fillId="7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" fontId="7" fillId="4" borderId="16" xfId="2" applyNumberFormat="1" applyAlignment="1">
      <alignment horizontal="right" vertical="top" wrapText="1"/>
    </xf>
    <xf numFmtId="4" fontId="7" fillId="4" borderId="36" xfId="2" applyNumberFormat="1" applyBorder="1" applyAlignment="1">
      <alignment horizontal="right" vertical="top" wrapText="1"/>
    </xf>
    <xf numFmtId="0" fontId="9" fillId="7" borderId="6" xfId="0" applyFont="1" applyFill="1" applyBorder="1" applyAlignment="1">
      <alignment horizontal="left" vertical="top" wrapText="1"/>
    </xf>
    <xf numFmtId="4" fontId="7" fillId="4" borderId="37" xfId="2" applyNumberFormat="1" applyBorder="1" applyAlignment="1">
      <alignment horizontal="right" vertical="top" wrapText="1"/>
    </xf>
    <xf numFmtId="4" fontId="6" fillId="3" borderId="0" xfId="1" applyNumberFormat="1" applyBorder="1" applyAlignment="1">
      <alignment horizontal="right" vertical="top" wrapText="1"/>
    </xf>
    <xf numFmtId="0" fontId="7" fillId="4" borderId="16" xfId="2" applyAlignment="1">
      <alignment horizontal="left" vertical="top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4" fontId="7" fillId="4" borderId="42" xfId="2" applyNumberFormat="1" applyBorder="1" applyAlignment="1">
      <alignment horizontal="right" vertical="top" wrapText="1"/>
    </xf>
    <xf numFmtId="4" fontId="7" fillId="4" borderId="45" xfId="2" applyNumberFormat="1" applyBorder="1" applyAlignment="1">
      <alignment horizontal="right" vertical="top" wrapText="1"/>
    </xf>
    <xf numFmtId="0" fontId="15" fillId="0" borderId="0" xfId="0" applyFont="1" applyBorder="1"/>
    <xf numFmtId="0" fontId="0" fillId="6" borderId="3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9" fillId="7" borderId="69" xfId="0" applyFont="1" applyFill="1" applyBorder="1" applyAlignment="1">
      <alignment horizontal="left" vertical="top" wrapText="1"/>
    </xf>
    <xf numFmtId="0" fontId="0" fillId="7" borderId="29" xfId="0" applyFill="1" applyBorder="1" applyAlignment="1">
      <alignment vertical="top" wrapText="1"/>
    </xf>
    <xf numFmtId="0" fontId="11" fillId="7" borderId="30" xfId="0" applyFont="1" applyFill="1" applyBorder="1" applyAlignment="1">
      <alignment vertical="top" wrapText="1"/>
    </xf>
    <xf numFmtId="4" fontId="7" fillId="4" borderId="71" xfId="2" applyNumberFormat="1" applyBorder="1" applyAlignment="1">
      <alignment horizontal="right" vertical="top" wrapText="1"/>
    </xf>
    <xf numFmtId="4" fontId="7" fillId="4" borderId="72" xfId="2" applyNumberFormat="1" applyBorder="1" applyAlignment="1">
      <alignment horizontal="right" vertical="top" wrapText="1"/>
    </xf>
    <xf numFmtId="4" fontId="7" fillId="4" borderId="73" xfId="2" applyNumberFormat="1" applyBorder="1" applyAlignment="1">
      <alignment horizontal="right" vertical="top" wrapText="1"/>
    </xf>
    <xf numFmtId="4" fontId="7" fillId="4" borderId="74" xfId="2" applyNumberFormat="1" applyBorder="1" applyAlignment="1">
      <alignment horizontal="right" vertical="top" wrapText="1"/>
    </xf>
    <xf numFmtId="4" fontId="7" fillId="4" borderId="76" xfId="2" applyNumberFormat="1" applyBorder="1" applyAlignment="1">
      <alignment horizontal="right" vertical="top" wrapText="1"/>
    </xf>
    <xf numFmtId="0" fontId="0" fillId="0" borderId="75" xfId="0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0" fillId="6" borderId="27" xfId="0" applyFill="1" applyBorder="1" applyAlignment="1">
      <alignment horizontal="left" vertical="top" wrapText="1"/>
    </xf>
    <xf numFmtId="4" fontId="7" fillId="4" borderId="77" xfId="2" applyNumberFormat="1" applyBorder="1" applyAlignment="1">
      <alignment horizontal="right" vertical="top" wrapText="1"/>
    </xf>
    <xf numFmtId="4" fontId="7" fillId="4" borderId="78" xfId="2" applyNumberFormat="1" applyBorder="1" applyAlignment="1">
      <alignment horizontal="right" vertical="top" wrapText="1"/>
    </xf>
    <xf numFmtId="4" fontId="7" fillId="4" borderId="79" xfId="2" applyNumberFormat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6" fillId="3" borderId="80" xfId="1" applyBorder="1" applyAlignment="1">
      <alignment horizontal="right" vertical="top" wrapText="1"/>
    </xf>
    <xf numFmtId="4" fontId="7" fillId="4" borderId="36" xfId="2" applyNumberFormat="1" applyBorder="1" applyAlignment="1">
      <alignment horizontal="left" vertical="top" wrapText="1"/>
    </xf>
    <xf numFmtId="4" fontId="7" fillId="4" borderId="81" xfId="2" applyNumberFormat="1" applyBorder="1" applyAlignment="1">
      <alignment horizontal="right" vertical="top" wrapText="1"/>
    </xf>
    <xf numFmtId="4" fontId="7" fillId="4" borderId="82" xfId="2" applyNumberFormat="1" applyBorder="1" applyAlignment="1">
      <alignment horizontal="right" vertical="top" wrapText="1"/>
    </xf>
    <xf numFmtId="4" fontId="7" fillId="4" borderId="83" xfId="2" applyNumberFormat="1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3" fontId="7" fillId="4" borderId="14" xfId="2" applyNumberFormat="1" applyBorder="1" applyAlignment="1">
      <alignment horizontal="right" vertical="top" wrapText="1"/>
    </xf>
    <xf numFmtId="3" fontId="7" fillId="4" borderId="24" xfId="2" applyNumberFormat="1" applyBorder="1" applyAlignment="1">
      <alignment horizontal="right" vertical="top" wrapText="1"/>
    </xf>
    <xf numFmtId="3" fontId="7" fillId="4" borderId="15" xfId="2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3" fontId="7" fillId="4" borderId="14" xfId="2" applyNumberFormat="1" applyBorder="1" applyAlignment="1">
      <alignment vertical="top" wrapText="1"/>
    </xf>
    <xf numFmtId="3" fontId="7" fillId="4" borderId="24" xfId="2" applyNumberFormat="1" applyBorder="1" applyAlignment="1">
      <alignment vertical="top" wrapText="1"/>
    </xf>
    <xf numFmtId="3" fontId="7" fillId="4" borderId="15" xfId="2" applyNumberFormat="1" applyBorder="1" applyAlignment="1">
      <alignment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vertical="top" wrapText="1"/>
    </xf>
    <xf numFmtId="3" fontId="7" fillId="4" borderId="72" xfId="2" applyNumberFormat="1" applyBorder="1" applyAlignment="1">
      <alignment horizontal="right" vertical="top" wrapText="1"/>
    </xf>
    <xf numFmtId="3" fontId="7" fillId="4" borderId="73" xfId="2" applyNumberFormat="1" applyBorder="1" applyAlignment="1">
      <alignment horizontal="right" vertical="top" wrapText="1"/>
    </xf>
    <xf numFmtId="3" fontId="7" fillId="4" borderId="74" xfId="2" applyNumberFormat="1" applyBorder="1" applyAlignment="1">
      <alignment horizontal="right" vertical="top" wrapText="1"/>
    </xf>
    <xf numFmtId="0" fontId="9" fillId="10" borderId="30" xfId="0" applyFont="1" applyFill="1" applyBorder="1" applyAlignment="1">
      <alignment horizontal="left" vertical="top" wrapText="1"/>
    </xf>
    <xf numFmtId="0" fontId="9" fillId="11" borderId="30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/>
    <xf numFmtId="3" fontId="7" fillId="4" borderId="73" xfId="2" applyNumberFormat="1" applyBorder="1"/>
    <xf numFmtId="0" fontId="29" fillId="0" borderId="0" xfId="0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9" fillId="0" borderId="0" xfId="0" applyFont="1" applyAlignment="1"/>
    <xf numFmtId="0" fontId="30" fillId="0" borderId="0" xfId="0" applyFont="1" applyBorder="1" applyAlignment="1"/>
    <xf numFmtId="0" fontId="0" fillId="0" borderId="0" xfId="0" applyBorder="1"/>
    <xf numFmtId="0" fontId="31" fillId="0" borderId="0" xfId="0" applyFont="1" applyBorder="1" applyAlignment="1"/>
    <xf numFmtId="0" fontId="9" fillId="7" borderId="69" xfId="0" applyFont="1" applyFill="1" applyBorder="1" applyAlignment="1">
      <alignment horizontal="center" vertical="top" wrapText="1"/>
    </xf>
    <xf numFmtId="3" fontId="7" fillId="4" borderId="36" xfId="2" applyNumberFormat="1" applyBorder="1"/>
    <xf numFmtId="3" fontId="7" fillId="4" borderId="88" xfId="2" applyNumberFormat="1" applyBorder="1"/>
    <xf numFmtId="0" fontId="0" fillId="6" borderId="89" xfId="0" applyFill="1" applyBorder="1" applyAlignment="1">
      <alignment horizontal="center" vertical="top" wrapText="1"/>
    </xf>
    <xf numFmtId="3" fontId="7" fillId="4" borderId="82" xfId="2" applyNumberFormat="1" applyBorder="1" applyAlignment="1">
      <alignment horizontal="right"/>
    </xf>
    <xf numFmtId="3" fontId="7" fillId="4" borderId="83" xfId="2" applyNumberFormat="1" applyBorder="1" applyAlignment="1">
      <alignment horizontal="right"/>
    </xf>
    <xf numFmtId="3" fontId="7" fillId="4" borderId="69" xfId="2" applyNumberFormat="1" applyBorder="1"/>
    <xf numFmtId="3" fontId="7" fillId="4" borderId="30" xfId="2" applyNumberFormat="1" applyBorder="1"/>
    <xf numFmtId="3" fontId="7" fillId="4" borderId="90" xfId="2" applyNumberFormat="1" applyBorder="1"/>
    <xf numFmtId="0" fontId="28" fillId="0" borderId="14" xfId="0" applyFont="1" applyBorder="1" applyAlignment="1"/>
    <xf numFmtId="0" fontId="28" fillId="0" borderId="23" xfId="0" applyFont="1" applyBorder="1" applyAlignment="1"/>
    <xf numFmtId="0" fontId="30" fillId="0" borderId="24" xfId="0" applyFont="1" applyBorder="1" applyAlignment="1"/>
    <xf numFmtId="0" fontId="0" fillId="0" borderId="0" xfId="0" applyFill="1" applyBorder="1" applyAlignment="1">
      <alignment horizontal="left" vertical="top" wrapText="1"/>
    </xf>
    <xf numFmtId="0" fontId="8" fillId="0" borderId="0" xfId="0" applyFont="1"/>
    <xf numFmtId="0" fontId="3" fillId="5" borderId="30" xfId="3" applyFont="1" applyBorder="1" applyAlignment="1">
      <alignment vertical="top"/>
    </xf>
    <xf numFmtId="0" fontId="0" fillId="0" borderId="38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6" borderId="87" xfId="0" applyFill="1" applyBorder="1" applyAlignment="1">
      <alignment horizontal="center" vertical="top" wrapText="1"/>
    </xf>
    <xf numFmtId="0" fontId="0" fillId="6" borderId="60" xfId="0" applyFill="1" applyBorder="1" applyAlignment="1">
      <alignment horizontal="center" vertical="top" wrapText="1"/>
    </xf>
    <xf numFmtId="0" fontId="0" fillId="6" borderId="61" xfId="0" applyFill="1" applyBorder="1" applyAlignment="1">
      <alignment horizontal="center" vertical="top" wrapText="1"/>
    </xf>
    <xf numFmtId="3" fontId="7" fillId="4" borderId="93" xfId="2" applyNumberFormat="1" applyBorder="1"/>
    <xf numFmtId="3" fontId="7" fillId="4" borderId="78" xfId="2" applyNumberFormat="1" applyBorder="1"/>
    <xf numFmtId="3" fontId="7" fillId="4" borderId="43" xfId="2" applyNumberFormat="1" applyBorder="1"/>
    <xf numFmtId="3" fontId="7" fillId="4" borderId="46" xfId="2" applyNumberFormat="1" applyBorder="1"/>
    <xf numFmtId="3" fontId="7" fillId="4" borderId="94" xfId="2" applyNumberFormat="1" applyBorder="1"/>
    <xf numFmtId="3" fontId="14" fillId="5" borderId="84" xfId="3" applyNumberFormat="1" applyFont="1" applyBorder="1" applyAlignment="1">
      <alignment vertical="top" wrapText="1"/>
    </xf>
    <xf numFmtId="3" fontId="14" fillId="5" borderId="54" xfId="3" applyNumberFormat="1" applyFont="1" applyBorder="1" applyAlignment="1">
      <alignment vertical="top" wrapText="1"/>
    </xf>
    <xf numFmtId="3" fontId="14" fillId="5" borderId="41" xfId="3" applyNumberFormat="1" applyFont="1" applyBorder="1" applyAlignment="1">
      <alignment vertical="top" wrapText="1"/>
    </xf>
    <xf numFmtId="3" fontId="14" fillId="5" borderId="55" xfId="3" applyNumberFormat="1" applyFont="1" applyBorder="1" applyAlignment="1">
      <alignment vertical="top" wrapText="1"/>
    </xf>
    <xf numFmtId="3" fontId="14" fillId="5" borderId="85" xfId="3" applyNumberFormat="1" applyFont="1" applyBorder="1" applyAlignment="1">
      <alignment vertical="top" wrapText="1"/>
    </xf>
    <xf numFmtId="3" fontId="14" fillId="5" borderId="57" xfId="3" applyNumberFormat="1" applyFont="1" applyBorder="1" applyAlignment="1">
      <alignment vertical="top" wrapText="1"/>
    </xf>
    <xf numFmtId="3" fontId="14" fillId="5" borderId="84" xfId="3" applyNumberFormat="1" applyFont="1" applyBorder="1" applyAlignment="1">
      <alignment horizontal="right" vertical="top" wrapText="1"/>
    </xf>
    <xf numFmtId="3" fontId="14" fillId="5" borderId="41" xfId="3" applyNumberFormat="1" applyFont="1" applyBorder="1" applyAlignment="1">
      <alignment horizontal="right" vertical="top" wrapText="1"/>
    </xf>
    <xf numFmtId="3" fontId="14" fillId="5" borderId="85" xfId="3" applyNumberFormat="1" applyFont="1" applyBorder="1" applyAlignment="1">
      <alignment horizontal="right" vertical="top" wrapText="1"/>
    </xf>
    <xf numFmtId="3" fontId="14" fillId="5" borderId="54" xfId="3" applyNumberFormat="1" applyFont="1" applyBorder="1" applyAlignment="1">
      <alignment horizontal="right" vertical="top" wrapText="1"/>
    </xf>
    <xf numFmtId="3" fontId="14" fillId="5" borderId="55" xfId="3" applyNumberFormat="1" applyFont="1" applyBorder="1" applyAlignment="1">
      <alignment horizontal="right" vertical="top" wrapText="1"/>
    </xf>
    <xf numFmtId="3" fontId="14" fillId="5" borderId="57" xfId="3" applyNumberFormat="1" applyFont="1" applyBorder="1" applyAlignment="1">
      <alignment horizontal="right" vertical="top" wrapText="1"/>
    </xf>
    <xf numFmtId="3" fontId="7" fillId="4" borderId="95" xfId="2" applyNumberFormat="1" applyBorder="1" applyAlignment="1">
      <alignment horizontal="right" vertical="top" wrapText="1"/>
    </xf>
    <xf numFmtId="3" fontId="7" fillId="4" borderId="52" xfId="2" applyNumberFormat="1" applyBorder="1" applyAlignment="1">
      <alignment horizontal="right" vertical="top" wrapText="1"/>
    </xf>
    <xf numFmtId="3" fontId="7" fillId="4" borderId="47" xfId="2" applyNumberFormat="1" applyBorder="1" applyAlignment="1">
      <alignment vertical="top" wrapText="1"/>
    </xf>
    <xf numFmtId="3" fontId="7" fillId="4" borderId="44" xfId="2" applyNumberFormat="1" applyBorder="1" applyAlignment="1">
      <alignment vertical="top" wrapText="1"/>
    </xf>
    <xf numFmtId="3" fontId="7" fillId="4" borderId="96" xfId="2" applyNumberFormat="1" applyBorder="1" applyAlignment="1">
      <alignment vertical="top" wrapText="1"/>
    </xf>
    <xf numFmtId="3" fontId="7" fillId="4" borderId="16" xfId="2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35" fillId="0" borderId="0" xfId="0" applyFont="1"/>
    <xf numFmtId="0" fontId="35" fillId="0" borderId="0" xfId="0" applyFont="1" applyAlignment="1">
      <alignment horizontal="right"/>
    </xf>
    <xf numFmtId="0" fontId="37" fillId="0" borderId="0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vertical="top"/>
    </xf>
    <xf numFmtId="0" fontId="36" fillId="12" borderId="0" xfId="0" applyFont="1" applyFill="1" applyBorder="1" applyAlignment="1">
      <alignment vertical="top"/>
    </xf>
    <xf numFmtId="0" fontId="36" fillId="12" borderId="24" xfId="0" applyFont="1" applyFill="1" applyBorder="1" applyAlignment="1">
      <alignment vertical="top"/>
    </xf>
    <xf numFmtId="0" fontId="36" fillId="12" borderId="6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Border="1"/>
    <xf numFmtId="0" fontId="35" fillId="0" borderId="0" xfId="0" applyFont="1" applyFill="1" applyBorder="1" applyAlignment="1">
      <alignment horizontal="left"/>
    </xf>
    <xf numFmtId="0" fontId="41" fillId="14" borderId="29" xfId="0" applyFont="1" applyFill="1" applyBorder="1"/>
    <xf numFmtId="1" fontId="41" fillId="0" borderId="0" xfId="0" applyNumberFormat="1" applyFont="1" applyFill="1" applyBorder="1"/>
    <xf numFmtId="0" fontId="35" fillId="0" borderId="0" xfId="0" applyFont="1" applyFill="1"/>
    <xf numFmtId="0" fontId="42" fillId="0" borderId="0" xfId="0" applyFont="1"/>
    <xf numFmtId="4" fontId="7" fillId="4" borderId="50" xfId="2" applyNumberFormat="1" applyBorder="1" applyAlignment="1">
      <alignment horizontal="right" vertical="top" wrapText="1"/>
    </xf>
    <xf numFmtId="4" fontId="0" fillId="0" borderId="0" xfId="0" applyNumberFormat="1" applyBorder="1" applyAlignment="1">
      <alignment horizontal="left" vertical="top" wrapText="1"/>
    </xf>
    <xf numFmtId="0" fontId="2" fillId="6" borderId="58" xfId="0" applyFont="1" applyFill="1" applyBorder="1" applyAlignment="1">
      <alignment horizontal="center" vertical="top" wrapText="1"/>
    </xf>
    <xf numFmtId="0" fontId="2" fillId="6" borderId="87" xfId="0" applyFont="1" applyFill="1" applyBorder="1" applyAlignment="1">
      <alignment horizontal="center" vertical="top" wrapText="1"/>
    </xf>
    <xf numFmtId="0" fontId="2" fillId="6" borderId="60" xfId="0" applyFont="1" applyFill="1" applyBorder="1" applyAlignment="1">
      <alignment horizontal="center" vertical="top" wrapText="1"/>
    </xf>
    <xf numFmtId="0" fontId="2" fillId="6" borderId="61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left"/>
    </xf>
    <xf numFmtId="3" fontId="7" fillId="4" borderId="82" xfId="2" applyNumberFormat="1" applyFont="1" applyBorder="1" applyAlignment="1">
      <alignment horizontal="right"/>
    </xf>
    <xf numFmtId="3" fontId="7" fillId="4" borderId="93" xfId="2" applyNumberFormat="1" applyFont="1" applyBorder="1"/>
    <xf numFmtId="3" fontId="7" fillId="4" borderId="36" xfId="2" applyNumberFormat="1" applyFont="1" applyBorder="1"/>
    <xf numFmtId="3" fontId="7" fillId="4" borderId="78" xfId="2" applyNumberFormat="1" applyFont="1" applyBorder="1"/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3" fontId="7" fillId="4" borderId="83" xfId="2" applyNumberFormat="1" applyFont="1" applyBorder="1" applyAlignment="1">
      <alignment horizontal="right"/>
    </xf>
    <xf numFmtId="3" fontId="7" fillId="4" borderId="69" xfId="2" applyNumberFormat="1" applyFont="1" applyBorder="1"/>
    <xf numFmtId="3" fontId="7" fillId="4" borderId="88" xfId="2" applyNumberFormat="1" applyFont="1" applyBorder="1"/>
    <xf numFmtId="3" fontId="7" fillId="4" borderId="73" xfId="2" applyNumberFormat="1" applyFont="1" applyBorder="1"/>
    <xf numFmtId="3" fontId="7" fillId="4" borderId="90" xfId="2" applyNumberFormat="1" applyFont="1" applyBorder="1"/>
    <xf numFmtId="3" fontId="7" fillId="4" borderId="30" xfId="2" applyNumberFormat="1" applyFont="1" applyBorder="1"/>
    <xf numFmtId="3" fontId="7" fillId="4" borderId="102" xfId="2" applyNumberFormat="1" applyFont="1" applyBorder="1"/>
    <xf numFmtId="3" fontId="7" fillId="4" borderId="16" xfId="2" applyNumberFormat="1" applyFont="1" applyBorder="1"/>
    <xf numFmtId="4" fontId="7" fillId="4" borderId="103" xfId="2" applyNumberFormat="1" applyBorder="1" applyAlignment="1">
      <alignment horizontal="right" vertical="top" wrapText="1"/>
    </xf>
    <xf numFmtId="4" fontId="7" fillId="0" borderId="0" xfId="2" applyNumberFormat="1" applyFill="1" applyBorder="1" applyAlignment="1">
      <alignment horizontal="right" vertical="top" wrapText="1"/>
    </xf>
    <xf numFmtId="4" fontId="0" fillId="0" borderId="0" xfId="0" applyNumberFormat="1"/>
    <xf numFmtId="4" fontId="7" fillId="4" borderId="105" xfId="2" applyNumberFormat="1" applyBorder="1" applyAlignment="1">
      <alignment horizontal="right" vertical="top" wrapText="1"/>
    </xf>
    <xf numFmtId="0" fontId="8" fillId="0" borderId="8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6" xfId="0" applyBorder="1"/>
    <xf numFmtId="0" fontId="0" fillId="0" borderId="5" xfId="0" applyBorder="1"/>
    <xf numFmtId="0" fontId="0" fillId="0" borderId="65" xfId="0" applyBorder="1" applyAlignment="1">
      <alignment horizontal="center" vertical="center"/>
    </xf>
    <xf numFmtId="0" fontId="0" fillId="0" borderId="13" xfId="0" applyBorder="1"/>
    <xf numFmtId="4" fontId="7" fillId="4" borderId="118" xfId="2" applyNumberFormat="1" applyBorder="1" applyAlignment="1">
      <alignment horizontal="right" vertical="top" wrapText="1"/>
    </xf>
    <xf numFmtId="4" fontId="7" fillId="4" borderId="117" xfId="2" applyNumberFormat="1" applyBorder="1" applyAlignment="1">
      <alignment horizontal="right" vertical="top" wrapText="1"/>
    </xf>
    <xf numFmtId="2" fontId="35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4" fontId="46" fillId="4" borderId="118" xfId="2" applyNumberFormat="1" applyFont="1" applyBorder="1" applyAlignment="1">
      <alignment horizontal="left" vertical="center" wrapText="1"/>
    </xf>
    <xf numFmtId="4" fontId="7" fillId="15" borderId="117" xfId="2" applyNumberFormat="1" applyFill="1" applyBorder="1" applyAlignment="1">
      <alignment horizontal="right" vertical="center" wrapText="1"/>
    </xf>
    <xf numFmtId="166" fontId="45" fillId="15" borderId="117" xfId="4" applyNumberFormat="1" applyFont="1" applyFill="1" applyBorder="1" applyAlignment="1">
      <alignment horizontal="right" vertical="center" wrapText="1"/>
    </xf>
    <xf numFmtId="3" fontId="45" fillId="15" borderId="117" xfId="4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horizontal="right" vertical="center"/>
    </xf>
    <xf numFmtId="4" fontId="48" fillId="9" borderId="117" xfId="2" applyNumberFormat="1" applyFont="1" applyFill="1" applyBorder="1" applyAlignment="1">
      <alignment horizontal="right" vertical="center" wrapText="1"/>
    </xf>
    <xf numFmtId="166" fontId="49" fillId="9" borderId="117" xfId="4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vertical="center"/>
    </xf>
    <xf numFmtId="3" fontId="49" fillId="9" borderId="117" xfId="4" applyNumberFormat="1" applyFont="1" applyFill="1" applyBorder="1" applyAlignment="1">
      <alignment horizontal="right" vertical="center" wrapText="1"/>
    </xf>
    <xf numFmtId="2" fontId="3" fillId="17" borderId="80" xfId="1" applyNumberFormat="1" applyFont="1" applyFill="1" applyBorder="1" applyAlignment="1">
      <alignment vertical="top" wrapText="1"/>
    </xf>
    <xf numFmtId="1" fontId="51" fillId="3" borderId="5" xfId="1" applyNumberFormat="1" applyFont="1" applyBorder="1" applyAlignment="1">
      <alignment horizontal="right" vertical="top" wrapText="1"/>
    </xf>
    <xf numFmtId="0" fontId="32" fillId="0" borderId="0" xfId="0" applyFont="1" applyBorder="1"/>
    <xf numFmtId="0" fontId="9" fillId="0" borderId="0" xfId="0" applyFont="1" applyFill="1" applyBorder="1" applyAlignment="1">
      <alignment horizontal="center" vertical="top" wrapText="1"/>
    </xf>
    <xf numFmtId="3" fontId="7" fillId="0" borderId="0" xfId="2" applyNumberFormat="1" applyFill="1" applyBorder="1"/>
    <xf numFmtId="0" fontId="8" fillId="0" borderId="61" xfId="0" applyFont="1" applyBorder="1" applyAlignment="1"/>
    <xf numFmtId="0" fontId="8" fillId="0" borderId="120" xfId="0" applyFont="1" applyBorder="1" applyAlignment="1"/>
    <xf numFmtId="0" fontId="0" fillId="0" borderId="121" xfId="0" applyFont="1" applyBorder="1" applyAlignment="1">
      <alignment horizontal="left"/>
    </xf>
    <xf numFmtId="0" fontId="9" fillId="7" borderId="30" xfId="0" applyFont="1" applyFill="1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6" xfId="0" applyFont="1" applyBorder="1" applyAlignment="1">
      <alignment horizontal="right"/>
    </xf>
    <xf numFmtId="0" fontId="32" fillId="0" borderId="6" xfId="0" applyFont="1" applyBorder="1"/>
    <xf numFmtId="0" fontId="34" fillId="0" borderId="24" xfId="0" applyFont="1" applyBorder="1" applyAlignment="1"/>
    <xf numFmtId="9" fontId="0" fillId="0" borderId="19" xfId="4" applyFont="1" applyBorder="1" applyAlignment="1">
      <alignment wrapText="1"/>
    </xf>
    <xf numFmtId="4" fontId="0" fillId="0" borderId="20" xfId="0" applyNumberFormat="1" applyBorder="1" applyAlignment="1">
      <alignment wrapText="1"/>
    </xf>
    <xf numFmtId="9" fontId="0" fillId="0" borderId="0" xfId="4" applyFont="1"/>
    <xf numFmtId="4" fontId="0" fillId="0" borderId="20" xfId="0" applyNumberFormat="1" applyBorder="1"/>
    <xf numFmtId="9" fontId="0" fillId="0" borderId="0" xfId="4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124" xfId="0" applyNumberFormat="1" applyBorder="1" applyAlignment="1">
      <alignment wrapText="1"/>
    </xf>
    <xf numFmtId="2" fontId="0" fillId="0" borderId="20" xfId="0" applyNumberFormat="1" applyBorder="1"/>
    <xf numFmtId="2" fontId="0" fillId="0" borderId="124" xfId="0" applyNumberFormat="1" applyBorder="1"/>
    <xf numFmtId="9" fontId="8" fillId="10" borderId="19" xfId="4" applyFont="1" applyFill="1" applyBorder="1" applyAlignment="1">
      <alignment wrapText="1"/>
    </xf>
    <xf numFmtId="9" fontId="8" fillId="10" borderId="123" xfId="4" applyFont="1" applyFill="1" applyBorder="1" applyAlignment="1">
      <alignment wrapText="1"/>
    </xf>
    <xf numFmtId="9" fontId="8" fillId="10" borderId="19" xfId="4" applyFont="1" applyFill="1" applyBorder="1"/>
    <xf numFmtId="9" fontId="8" fillId="10" borderId="123" xfId="4" applyFont="1" applyFill="1" applyBorder="1"/>
    <xf numFmtId="0" fontId="8" fillId="10" borderId="0" xfId="0" applyFont="1" applyFill="1" applyAlignment="1">
      <alignment wrapText="1"/>
    </xf>
    <xf numFmtId="4" fontId="8" fillId="10" borderId="0" xfId="0" applyNumberFormat="1" applyFont="1" applyFill="1" applyAlignment="1">
      <alignment wrapText="1"/>
    </xf>
    <xf numFmtId="0" fontId="8" fillId="0" borderId="0" xfId="0" applyFont="1" applyFill="1"/>
    <xf numFmtId="0" fontId="8" fillId="10" borderId="20" xfId="0" applyFont="1" applyFill="1" applyBorder="1" applyAlignment="1">
      <alignment horizontal="right" wrapText="1"/>
    </xf>
    <xf numFmtId="0" fontId="8" fillId="10" borderId="19" xfId="0" applyFont="1" applyFill="1" applyBorder="1" applyAlignment="1">
      <alignment horizontal="right" wrapText="1"/>
    </xf>
    <xf numFmtId="0" fontId="8" fillId="10" borderId="122" xfId="0" applyFont="1" applyFill="1" applyBorder="1" applyAlignment="1">
      <alignment horizontal="right"/>
    </xf>
    <xf numFmtId="0" fontId="8" fillId="10" borderId="116" xfId="0" applyFont="1" applyFill="1" applyBorder="1" applyAlignment="1">
      <alignment horizontal="right"/>
    </xf>
    <xf numFmtId="4" fontId="0" fillId="0" borderId="0" xfId="0" applyNumberFormat="1" applyBorder="1" applyAlignment="1">
      <alignment wrapText="1"/>
    </xf>
    <xf numFmtId="2" fontId="0" fillId="0" borderId="0" xfId="0" applyNumberFormat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4" fontId="8" fillId="0" borderId="0" xfId="0" applyNumberFormat="1" applyFont="1" applyBorder="1" applyAlignment="1">
      <alignment wrapText="1"/>
    </xf>
    <xf numFmtId="9" fontId="8" fillId="19" borderId="20" xfId="4" applyFont="1" applyFill="1" applyBorder="1" applyAlignment="1">
      <alignment wrapText="1"/>
    </xf>
    <xf numFmtId="2" fontId="0" fillId="0" borderId="0" xfId="0" applyNumberFormat="1" applyBorder="1"/>
    <xf numFmtId="9" fontId="8" fillId="19" borderId="21" xfId="4" applyFont="1" applyFill="1" applyBorder="1" applyAlignment="1">
      <alignment wrapText="1"/>
    </xf>
    <xf numFmtId="2" fontId="0" fillId="0" borderId="21" xfId="0" applyNumberFormat="1" applyBorder="1" applyAlignment="1">
      <alignment wrapText="1"/>
    </xf>
    <xf numFmtId="2" fontId="0" fillId="0" borderId="21" xfId="0" applyNumberFormat="1" applyBorder="1"/>
    <xf numFmtId="9" fontId="8" fillId="19" borderId="123" xfId="4" applyFont="1" applyFill="1" applyBorder="1" applyAlignment="1">
      <alignment wrapText="1"/>
    </xf>
    <xf numFmtId="9" fontId="8" fillId="19" borderId="124" xfId="4" applyFont="1" applyFill="1" applyBorder="1" applyAlignment="1">
      <alignment wrapText="1"/>
    </xf>
    <xf numFmtId="9" fontId="8" fillId="19" borderId="116" xfId="4" applyFont="1" applyFill="1" applyBorder="1" applyAlignment="1">
      <alignment wrapText="1"/>
    </xf>
    <xf numFmtId="0" fontId="41" fillId="14" borderId="15" xfId="0" applyFont="1" applyFill="1" applyBorder="1"/>
    <xf numFmtId="0" fontId="0" fillId="17" borderId="60" xfId="0" applyFill="1" applyBorder="1"/>
    <xf numFmtId="0" fontId="0" fillId="17" borderId="22" xfId="0" applyFill="1" applyBorder="1"/>
    <xf numFmtId="0" fontId="0" fillId="17" borderId="86" xfId="0" applyFill="1" applyBorder="1"/>
    <xf numFmtId="0" fontId="0" fillId="17" borderId="114" xfId="0" applyFill="1" applyBorder="1"/>
    <xf numFmtId="0" fontId="36" fillId="12" borderId="13" xfId="0" applyFont="1" applyFill="1" applyBorder="1" applyAlignment="1">
      <alignment horizontal="center" vertical="center" wrapText="1"/>
    </xf>
    <xf numFmtId="0" fontId="38" fillId="17" borderId="135" xfId="0" applyFont="1" applyFill="1" applyBorder="1" applyAlignment="1">
      <alignment vertical="center"/>
    </xf>
    <xf numFmtId="0" fontId="38" fillId="17" borderId="134" xfId="0" applyFont="1" applyFill="1" applyBorder="1" applyAlignment="1">
      <alignment vertical="center"/>
    </xf>
    <xf numFmtId="0" fontId="36" fillId="12" borderId="23" xfId="0" applyFont="1" applyFill="1" applyBorder="1" applyAlignment="1">
      <alignment vertical="center"/>
    </xf>
    <xf numFmtId="0" fontId="36" fillId="12" borderId="8" xfId="0" applyFont="1" applyFill="1" applyBorder="1" applyAlignment="1">
      <alignment vertical="center" wrapText="1"/>
    </xf>
    <xf numFmtId="0" fontId="36" fillId="12" borderId="14" xfId="0" applyFont="1" applyFill="1" applyBorder="1" applyAlignment="1">
      <alignment vertical="center"/>
    </xf>
    <xf numFmtId="0" fontId="36" fillId="12" borderId="13" xfId="0" applyFont="1" applyFill="1" applyBorder="1" applyAlignment="1">
      <alignment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36" fillId="12" borderId="0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30" xfId="0" applyFont="1" applyBorder="1" applyAlignment="1">
      <alignment horizontal="center" vertical="center"/>
    </xf>
    <xf numFmtId="0" fontId="41" fillId="14" borderId="26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 wrapText="1"/>
    </xf>
    <xf numFmtId="2" fontId="41" fillId="14" borderId="30" xfId="0" applyNumberFormat="1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top" wrapText="1"/>
    </xf>
    <xf numFmtId="0" fontId="36" fillId="12" borderId="14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2" borderId="13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41" fillId="14" borderId="29" xfId="0" applyFont="1" applyFill="1" applyBorder="1" applyAlignment="1">
      <alignment horizontal="center" vertical="center"/>
    </xf>
    <xf numFmtId="0" fontId="35" fillId="17" borderId="130" xfId="0" applyFont="1" applyFill="1" applyBorder="1" applyAlignment="1">
      <alignment horizontal="center" vertical="center"/>
    </xf>
    <xf numFmtId="0" fontId="35" fillId="17" borderId="133" xfId="0" applyFont="1" applyFill="1" applyBorder="1" applyAlignment="1">
      <alignment horizontal="center" vertical="center"/>
    </xf>
    <xf numFmtId="0" fontId="36" fillId="12" borderId="8" xfId="0" applyFont="1" applyFill="1" applyBorder="1" applyAlignment="1">
      <alignment horizontal="left" vertical="center"/>
    </xf>
    <xf numFmtId="0" fontId="36" fillId="12" borderId="23" xfId="0" applyFont="1" applyFill="1" applyBorder="1" applyAlignment="1">
      <alignment horizontal="left" vertical="center"/>
    </xf>
    <xf numFmtId="0" fontId="40" fillId="17" borderId="135" xfId="0" applyFont="1" applyFill="1" applyBorder="1" applyAlignment="1">
      <alignment horizontal="left" vertical="center"/>
    </xf>
    <xf numFmtId="0" fontId="38" fillId="17" borderId="135" xfId="0" applyFont="1" applyFill="1" applyBorder="1" applyAlignment="1">
      <alignment horizontal="left" vertical="center"/>
    </xf>
    <xf numFmtId="0" fontId="39" fillId="17" borderId="135" xfId="0" applyFont="1" applyFill="1" applyBorder="1" applyAlignment="1">
      <alignment horizontal="left" vertical="center"/>
    </xf>
    <xf numFmtId="0" fontId="41" fillId="14" borderId="15" xfId="0" applyFont="1" applyFill="1" applyBorder="1" applyAlignment="1">
      <alignment horizontal="left" vertical="center"/>
    </xf>
    <xf numFmtId="3" fontId="7" fillId="4" borderId="143" xfId="2" applyNumberFormat="1" applyBorder="1" applyAlignment="1">
      <alignment horizontal="right" vertical="top" wrapText="1"/>
    </xf>
    <xf numFmtId="3" fontId="14" fillId="5" borderId="100" xfId="3" applyNumberFormat="1" applyFont="1" applyBorder="1" applyAlignment="1">
      <alignment horizontal="right" vertical="top" wrapText="1"/>
    </xf>
    <xf numFmtId="3" fontId="14" fillId="5" borderId="144" xfId="3" applyNumberFormat="1" applyFont="1" applyBorder="1" applyAlignment="1">
      <alignment horizontal="right" vertical="top" wrapText="1"/>
    </xf>
    <xf numFmtId="3" fontId="14" fillId="5" borderId="145" xfId="3" applyNumberFormat="1" applyFont="1" applyBorder="1" applyAlignment="1">
      <alignment horizontal="right" vertical="top" wrapText="1"/>
    </xf>
    <xf numFmtId="3" fontId="7" fillId="4" borderId="146" xfId="2" applyNumberFormat="1" applyBorder="1" applyAlignment="1">
      <alignment vertical="top" wrapText="1"/>
    </xf>
    <xf numFmtId="3" fontId="14" fillId="5" borderId="100" xfId="3" applyNumberFormat="1" applyFont="1" applyBorder="1" applyAlignment="1">
      <alignment vertical="top" wrapText="1"/>
    </xf>
    <xf numFmtId="3" fontId="14" fillId="5" borderId="144" xfId="3" applyNumberFormat="1" applyFont="1" applyBorder="1" applyAlignment="1">
      <alignment vertical="top" wrapText="1"/>
    </xf>
    <xf numFmtId="3" fontId="14" fillId="5" borderId="145" xfId="3" applyNumberFormat="1" applyFont="1" applyBorder="1" applyAlignment="1">
      <alignment vertical="top" wrapText="1"/>
    </xf>
    <xf numFmtId="3" fontId="7" fillId="4" borderId="106" xfId="2" applyNumberFormat="1" applyBorder="1" applyAlignment="1">
      <alignment horizontal="right" vertical="top" wrapText="1"/>
    </xf>
    <xf numFmtId="3" fontId="7" fillId="4" borderId="108" xfId="2" applyNumberFormat="1" applyBorder="1" applyAlignment="1">
      <alignment vertical="top" wrapText="1"/>
    </xf>
    <xf numFmtId="0" fontId="0" fillId="0" borderId="0" xfId="0" applyAlignment="1">
      <alignment horizontal="center"/>
    </xf>
    <xf numFmtId="0" fontId="8" fillId="19" borderId="0" xfId="0" applyFont="1" applyFill="1"/>
    <xf numFmtId="0" fontId="8" fillId="19" borderId="0" xfId="0" applyFont="1" applyFill="1" applyAlignment="1">
      <alignment horizontal="left"/>
    </xf>
    <xf numFmtId="0" fontId="8" fillId="0" borderId="69" xfId="0" applyFont="1" applyBorder="1" applyAlignment="1">
      <alignment horizontal="center" vertical="center" wrapText="1"/>
    </xf>
    <xf numFmtId="0" fontId="33" fillId="0" borderId="150" xfId="0" applyFont="1" applyBorder="1" applyAlignment="1">
      <alignment horizontal="center" wrapText="1"/>
    </xf>
    <xf numFmtId="0" fontId="33" fillId="0" borderId="152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15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8" fillId="0" borderId="147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147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17" borderId="113" xfId="0" applyFill="1" applyBorder="1"/>
    <xf numFmtId="0" fontId="37" fillId="0" borderId="24" xfId="0" applyFont="1" applyFill="1" applyBorder="1" applyAlignment="1">
      <alignment horizontal="left" vertical="center"/>
    </xf>
    <xf numFmtId="0" fontId="0" fillId="17" borderId="114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7" borderId="113" xfId="0" applyFill="1" applyBorder="1" applyAlignment="1">
      <alignment horizontal="center"/>
    </xf>
    <xf numFmtId="0" fontId="33" fillId="0" borderId="149" xfId="0" applyFont="1" applyBorder="1" applyAlignment="1">
      <alignment horizontal="center" wrapText="1"/>
    </xf>
    <xf numFmtId="0" fontId="0" fillId="17" borderId="124" xfId="0" applyFill="1" applyBorder="1" applyAlignment="1">
      <alignment horizontal="center"/>
    </xf>
    <xf numFmtId="0" fontId="34" fillId="9" borderId="69" xfId="0" applyFont="1" applyFill="1" applyBorder="1" applyAlignment="1">
      <alignment horizontal="left" vertical="top"/>
    </xf>
    <xf numFmtId="0" fontId="0" fillId="17" borderId="153" xfId="0" applyFill="1" applyBorder="1" applyAlignment="1"/>
    <xf numFmtId="0" fontId="0" fillId="17" borderId="147" xfId="0" applyFill="1" applyBorder="1" applyAlignment="1">
      <alignment horizontal="left"/>
    </xf>
    <xf numFmtId="0" fontId="0" fillId="17" borderId="147" xfId="0" applyFill="1" applyBorder="1" applyAlignment="1">
      <alignment horizontal="center"/>
    </xf>
    <xf numFmtId="0" fontId="0" fillId="17" borderId="148" xfId="0" applyFill="1" applyBorder="1"/>
    <xf numFmtId="0" fontId="33" fillId="0" borderId="151" xfId="0" applyFont="1" applyBorder="1" applyAlignment="1">
      <alignment wrapText="1"/>
    </xf>
    <xf numFmtId="0" fontId="0" fillId="17" borderId="123" xfId="0" applyFill="1" applyBorder="1" applyAlignment="1">
      <alignment horizontal="center"/>
    </xf>
    <xf numFmtId="0" fontId="0" fillId="17" borderId="125" xfId="0" applyFill="1" applyBorder="1" applyAlignment="1">
      <alignment horizontal="center"/>
    </xf>
    <xf numFmtId="0" fontId="0" fillId="17" borderId="125" xfId="0" applyFill="1" applyBorder="1"/>
    <xf numFmtId="0" fontId="33" fillId="0" borderId="29" xfId="0" applyFont="1" applyBorder="1" applyAlignment="1">
      <alignment horizontal="center" wrapText="1"/>
    </xf>
    <xf numFmtId="0" fontId="0" fillId="17" borderId="153" xfId="0" applyFill="1" applyBorder="1" applyAlignment="1">
      <alignment horizontal="center"/>
    </xf>
    <xf numFmtId="0" fontId="0" fillId="17" borderId="22" xfId="0" applyFill="1" applyBorder="1" applyAlignment="1">
      <alignment horizontal="center" vertical="top" wrapText="1"/>
    </xf>
    <xf numFmtId="0" fontId="59" fillId="0" borderId="0" xfId="0" applyFont="1"/>
    <xf numFmtId="2" fontId="41" fillId="14" borderId="69" xfId="0" applyNumberFormat="1" applyFont="1" applyFill="1" applyBorder="1" applyAlignment="1">
      <alignment horizontal="center" vertical="center"/>
    </xf>
    <xf numFmtId="2" fontId="41" fillId="14" borderId="29" xfId="0" applyNumberFormat="1" applyFont="1" applyFill="1" applyBorder="1" applyAlignment="1">
      <alignment horizontal="center" vertical="center"/>
    </xf>
    <xf numFmtId="0" fontId="36" fillId="12" borderId="80" xfId="0" applyFont="1" applyFill="1" applyBorder="1" applyAlignment="1">
      <alignment horizontal="center" vertical="top" wrapText="1"/>
    </xf>
    <xf numFmtId="0" fontId="36" fillId="12" borderId="6" xfId="0" applyFont="1" applyFill="1" applyBorder="1" applyAlignment="1">
      <alignment vertical="center"/>
    </xf>
    <xf numFmtId="0" fontId="36" fillId="12" borderId="0" xfId="0" applyFont="1" applyFill="1" applyBorder="1" applyAlignment="1">
      <alignment vertical="center"/>
    </xf>
    <xf numFmtId="0" fontId="36" fillId="12" borderId="24" xfId="0" applyFont="1" applyFill="1" applyBorder="1" applyAlignment="1">
      <alignment vertical="center"/>
    </xf>
    <xf numFmtId="0" fontId="36" fillId="12" borderId="80" xfId="0" applyFont="1" applyFill="1" applyBorder="1" applyAlignment="1">
      <alignment vertical="center" wrapText="1"/>
    </xf>
    <xf numFmtId="0" fontId="8" fillId="9" borderId="154" xfId="0" applyFont="1" applyFill="1" applyBorder="1"/>
    <xf numFmtId="0" fontId="8" fillId="9" borderId="150" xfId="0" applyFont="1" applyFill="1" applyBorder="1"/>
    <xf numFmtId="0" fontId="8" fillId="9" borderId="152" xfId="0" applyFont="1" applyFill="1" applyBorder="1"/>
    <xf numFmtId="0" fontId="0" fillId="25" borderId="114" xfId="0" applyFill="1" applyBorder="1"/>
    <xf numFmtId="0" fontId="0" fillId="25" borderId="22" xfId="0" applyFill="1" applyBorder="1"/>
    <xf numFmtId="0" fontId="33" fillId="17" borderId="22" xfId="0" applyFont="1" applyFill="1" applyBorder="1"/>
    <xf numFmtId="0" fontId="43" fillId="17" borderId="156" xfId="0" applyFont="1" applyFill="1" applyBorder="1" applyAlignment="1">
      <alignment horizontal="center" vertical="center"/>
    </xf>
    <xf numFmtId="0" fontId="43" fillId="17" borderId="157" xfId="0" applyFont="1" applyFill="1" applyBorder="1" applyAlignment="1">
      <alignment horizontal="center" vertical="center"/>
    </xf>
    <xf numFmtId="0" fontId="43" fillId="17" borderId="158" xfId="0" applyFont="1" applyFill="1" applyBorder="1" applyAlignment="1">
      <alignment horizontal="center" vertical="center"/>
    </xf>
    <xf numFmtId="0" fontId="43" fillId="17" borderId="159" xfId="0" applyFont="1" applyFill="1" applyBorder="1" applyAlignment="1">
      <alignment horizontal="center" vertical="center"/>
    </xf>
    <xf numFmtId="0" fontId="43" fillId="17" borderId="160" xfId="0" applyFont="1" applyFill="1" applyBorder="1" applyAlignment="1">
      <alignment horizontal="center" vertical="center"/>
    </xf>
    <xf numFmtId="0" fontId="43" fillId="17" borderId="161" xfId="0" applyFont="1" applyFill="1" applyBorder="1" applyAlignment="1">
      <alignment horizontal="center" vertical="center"/>
    </xf>
    <xf numFmtId="0" fontId="43" fillId="17" borderId="162" xfId="0" applyFont="1" applyFill="1" applyBorder="1" applyAlignment="1">
      <alignment horizontal="center" vertical="center"/>
    </xf>
    <xf numFmtId="0" fontId="43" fillId="17" borderId="163" xfId="0" applyFont="1" applyFill="1" applyBorder="1" applyAlignment="1">
      <alignment horizontal="center" vertical="center"/>
    </xf>
    <xf numFmtId="0" fontId="43" fillId="17" borderId="164" xfId="0" applyFont="1" applyFill="1" applyBorder="1" applyAlignment="1">
      <alignment horizontal="center" vertical="center"/>
    </xf>
    <xf numFmtId="0" fontId="0" fillId="25" borderId="22" xfId="0" applyFill="1" applyBorder="1" applyAlignment="1">
      <alignment wrapText="1"/>
    </xf>
    <xf numFmtId="0" fontId="62" fillId="21" borderId="114" xfId="6" applyFont="1" applyFill="1" applyBorder="1" applyAlignment="1">
      <alignment vertical="center"/>
    </xf>
    <xf numFmtId="0" fontId="62" fillId="21" borderId="22" xfId="6" applyFont="1" applyFill="1" applyBorder="1" applyAlignment="1">
      <alignment vertical="center"/>
    </xf>
    <xf numFmtId="0" fontId="0" fillId="17" borderId="22" xfId="0" applyFill="1" applyBorder="1" applyAlignment="1">
      <alignment wrapText="1"/>
    </xf>
    <xf numFmtId="0" fontId="8" fillId="0" borderId="60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19" borderId="125" xfId="0" applyFont="1" applyFill="1" applyBorder="1" applyProtection="1"/>
    <xf numFmtId="0" fontId="8" fillId="19" borderId="34" xfId="0" applyFont="1" applyFill="1" applyBorder="1" applyProtection="1"/>
    <xf numFmtId="0" fontId="8" fillId="19" borderId="113" xfId="0" applyFont="1" applyFill="1" applyBorder="1" applyProtection="1"/>
    <xf numFmtId="165" fontId="8" fillId="19" borderId="22" xfId="5" applyNumberFormat="1" applyFont="1" applyFill="1" applyBorder="1" applyProtection="1"/>
    <xf numFmtId="165" fontId="8" fillId="19" borderId="125" xfId="5" applyNumberFormat="1" applyFont="1" applyFill="1" applyBorder="1" applyProtection="1"/>
    <xf numFmtId="0" fontId="8" fillId="0" borderId="125" xfId="0" applyFont="1" applyBorder="1" applyProtection="1"/>
    <xf numFmtId="0" fontId="8" fillId="22" borderId="34" xfId="0" applyFont="1" applyFill="1" applyBorder="1" applyProtection="1"/>
    <xf numFmtId="0" fontId="8" fillId="22" borderId="113" xfId="0" applyFont="1" applyFill="1" applyBorder="1" applyProtection="1"/>
    <xf numFmtId="0" fontId="8" fillId="21" borderId="125" xfId="0" applyFont="1" applyFill="1" applyBorder="1" applyProtection="1"/>
    <xf numFmtId="0" fontId="8" fillId="21" borderId="34" xfId="0" applyFont="1" applyFill="1" applyBorder="1" applyProtection="1"/>
    <xf numFmtId="0" fontId="0" fillId="21" borderId="113" xfId="0" applyFont="1" applyFill="1" applyBorder="1" applyProtection="1"/>
    <xf numFmtId="0" fontId="8" fillId="21" borderId="122" xfId="0" applyFont="1" applyFill="1" applyBorder="1" applyProtection="1"/>
    <xf numFmtId="0" fontId="8" fillId="21" borderId="18" xfId="0" applyFont="1" applyFill="1" applyBorder="1" applyProtection="1"/>
    <xf numFmtId="0" fontId="0" fillId="21" borderId="116" xfId="0" applyFont="1" applyFill="1" applyBorder="1" applyProtection="1"/>
    <xf numFmtId="4" fontId="14" fillId="5" borderId="41" xfId="3" applyNumberFormat="1" applyFont="1" applyBorder="1" applyAlignment="1" applyProtection="1">
      <alignment horizontal="right" vertical="top" wrapText="1"/>
      <protection locked="0"/>
    </xf>
    <xf numFmtId="4" fontId="14" fillId="5" borderId="17" xfId="3" applyNumberFormat="1" applyFont="1" applyAlignment="1" applyProtection="1">
      <alignment horizontal="right" vertical="top" wrapText="1"/>
      <protection locked="0"/>
    </xf>
    <xf numFmtId="4" fontId="14" fillId="5" borderId="104" xfId="3" applyNumberFormat="1" applyFont="1" applyBorder="1" applyAlignment="1" applyProtection="1">
      <alignment horizontal="right" vertical="top" wrapText="1"/>
      <protection locked="0"/>
    </xf>
    <xf numFmtId="4" fontId="14" fillId="5" borderId="101" xfId="3" applyNumberFormat="1" applyFont="1" applyBorder="1" applyAlignment="1" applyProtection="1">
      <alignment horizontal="right" vertical="top" wrapText="1"/>
      <protection locked="0"/>
    </xf>
    <xf numFmtId="0" fontId="0" fillId="18" borderId="0" xfId="0" applyFill="1" applyAlignment="1" applyProtection="1">
      <alignment horizontal="left" vertical="top" wrapText="1"/>
    </xf>
    <xf numFmtId="0" fontId="33" fillId="0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9" fillId="18" borderId="0" xfId="0" applyFont="1" applyFill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left" vertical="top" wrapText="1"/>
    </xf>
    <xf numFmtId="0" fontId="9" fillId="18" borderId="15" xfId="0" applyFont="1" applyFill="1" applyBorder="1" applyAlignment="1" applyProtection="1">
      <alignment horizontal="left" vertical="top" wrapText="1"/>
    </xf>
    <xf numFmtId="0" fontId="9" fillId="18" borderId="26" xfId="0" applyFont="1" applyFill="1" applyBorder="1" applyAlignment="1" applyProtection="1">
      <alignment horizontal="left" vertical="top" wrapText="1"/>
    </xf>
    <xf numFmtId="0" fontId="9" fillId="18" borderId="5" xfId="0" applyFont="1" applyFill="1" applyBorder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center" vertical="top" wrapText="1"/>
    </xf>
    <xf numFmtId="0" fontId="9" fillId="18" borderId="27" xfId="0" applyFont="1" applyFill="1" applyBorder="1" applyAlignment="1" applyProtection="1">
      <alignment horizontal="center" vertical="top" wrapText="1"/>
    </xf>
    <xf numFmtId="0" fontId="9" fillId="18" borderId="19" xfId="0" applyFont="1" applyFill="1" applyBorder="1" applyAlignment="1" applyProtection="1">
      <alignment horizontal="center" vertical="top" wrapText="1"/>
    </xf>
    <xf numFmtId="0" fontId="9" fillId="18" borderId="5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167" fontId="0" fillId="0" borderId="14" xfId="5" applyNumberFormat="1" applyFont="1" applyBorder="1" applyAlignment="1" applyProtection="1">
      <alignment horizontal="center" vertical="center" wrapText="1"/>
    </xf>
    <xf numFmtId="167" fontId="0" fillId="0" borderId="23" xfId="5" applyNumberFormat="1" applyFont="1" applyBorder="1" applyAlignment="1" applyProtection="1">
      <alignment horizontal="center" vertical="center" wrapText="1"/>
    </xf>
    <xf numFmtId="167" fontId="0" fillId="0" borderId="13" xfId="5" applyNumberFormat="1" applyFont="1" applyBorder="1" applyAlignment="1" applyProtection="1">
      <alignment horizontal="center" vertical="center" wrapText="1"/>
    </xf>
    <xf numFmtId="167" fontId="14" fillId="5" borderId="84" xfId="5" applyNumberFormat="1" applyFont="1" applyFill="1" applyBorder="1" applyAlignment="1" applyProtection="1">
      <alignment horizontal="center" vertical="center" wrapText="1"/>
    </xf>
    <xf numFmtId="167" fontId="14" fillId="5" borderId="53" xfId="5" applyNumberFormat="1" applyFont="1" applyFill="1" applyBorder="1" applyAlignment="1" applyProtection="1">
      <alignment horizontal="center" vertical="center" wrapText="1"/>
    </xf>
    <xf numFmtId="167" fontId="57" fillId="20" borderId="53" xfId="5" applyNumberFormat="1" applyFont="1" applyFill="1" applyBorder="1" applyAlignment="1" applyProtection="1">
      <alignment horizontal="center" vertical="center" wrapText="1"/>
    </xf>
    <xf numFmtId="167" fontId="14" fillId="5" borderId="100" xfId="5" applyNumberFormat="1" applyFont="1" applyFill="1" applyBorder="1" applyAlignment="1" applyProtection="1">
      <alignment horizontal="center" vertical="center" wrapText="1"/>
    </xf>
    <xf numFmtId="167" fontId="57" fillId="20" borderId="54" xfId="5" applyNumberFormat="1" applyFont="1" applyFill="1" applyBorder="1" applyAlignment="1" applyProtection="1">
      <alignment horizontal="center" vertical="center" wrapText="1"/>
    </xf>
    <xf numFmtId="9" fontId="33" fillId="0" borderId="0" xfId="4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167" fontId="0" fillId="0" borderId="24" xfId="5" applyNumberFormat="1" applyFont="1" applyBorder="1" applyAlignment="1" applyProtection="1">
      <alignment horizontal="center" vertical="center" wrapText="1"/>
    </xf>
    <xf numFmtId="167" fontId="0" fillId="0" borderId="0" xfId="5" applyNumberFormat="1" applyFont="1" applyBorder="1" applyAlignment="1" applyProtection="1">
      <alignment horizontal="center" vertical="center" wrapText="1"/>
    </xf>
    <xf numFmtId="167" fontId="0" fillId="0" borderId="6" xfId="5" applyNumberFormat="1" applyFont="1" applyBorder="1" applyAlignment="1" applyProtection="1">
      <alignment horizontal="center" vertical="center" wrapText="1"/>
    </xf>
    <xf numFmtId="167" fontId="14" fillId="5" borderId="41" xfId="5" applyNumberFormat="1" applyFont="1" applyFill="1" applyBorder="1" applyAlignment="1" applyProtection="1">
      <alignment horizontal="center" vertical="center" wrapText="1"/>
    </xf>
    <xf numFmtId="167" fontId="14" fillId="5" borderId="17" xfId="5" applyNumberFormat="1" applyFont="1" applyFill="1" applyBorder="1" applyAlignment="1" applyProtection="1">
      <alignment horizontal="center" vertical="center" wrapText="1"/>
    </xf>
    <xf numFmtId="167" fontId="57" fillId="20" borderId="17" xfId="5" applyNumberFormat="1" applyFont="1" applyFill="1" applyBorder="1" applyAlignment="1" applyProtection="1">
      <alignment horizontal="center" vertical="center" wrapText="1"/>
    </xf>
    <xf numFmtId="167" fontId="14" fillId="5" borderId="127" xfId="5" applyNumberFormat="1" applyFont="1" applyFill="1" applyBorder="1" applyAlignment="1" applyProtection="1">
      <alignment horizontal="center" vertical="center" wrapText="1"/>
    </xf>
    <xf numFmtId="167" fontId="57" fillId="20" borderId="98" xfId="5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</xf>
    <xf numFmtId="167" fontId="0" fillId="0" borderId="15" xfId="5" applyNumberFormat="1" applyFont="1" applyBorder="1" applyAlignment="1" applyProtection="1">
      <alignment horizontal="center" vertical="center" wrapText="1"/>
    </xf>
    <xf numFmtId="167" fontId="0" fillId="0" borderId="26" xfId="5" applyNumberFormat="1" applyFont="1" applyBorder="1" applyAlignment="1" applyProtection="1">
      <alignment horizontal="center" vertical="center" wrapText="1"/>
    </xf>
    <xf numFmtId="167" fontId="0" fillId="0" borderId="5" xfId="5" applyNumberFormat="1" applyFont="1" applyBorder="1" applyAlignment="1" applyProtection="1">
      <alignment horizontal="center" vertical="center" wrapText="1"/>
    </xf>
    <xf numFmtId="167" fontId="14" fillId="5" borderId="85" xfId="5" applyNumberFormat="1" applyFont="1" applyFill="1" applyBorder="1" applyAlignment="1" applyProtection="1">
      <alignment horizontal="center" vertical="center" wrapText="1"/>
    </xf>
    <xf numFmtId="167" fontId="14" fillId="5" borderId="56" xfId="5" applyNumberFormat="1" applyFont="1" applyFill="1" applyBorder="1" applyAlignment="1" applyProtection="1">
      <alignment horizontal="center" vertical="center" wrapText="1"/>
    </xf>
    <xf numFmtId="167" fontId="57" fillId="20" borderId="56" xfId="5" applyNumberFormat="1" applyFont="1" applyFill="1" applyBorder="1" applyAlignment="1" applyProtection="1">
      <alignment horizontal="center" vertical="center" wrapText="1"/>
    </xf>
    <xf numFmtId="167" fontId="14" fillId="5" borderId="128" xfId="5" applyNumberFormat="1" applyFont="1" applyFill="1" applyBorder="1" applyAlignment="1" applyProtection="1">
      <alignment horizontal="center" vertical="center" wrapText="1"/>
    </xf>
    <xf numFmtId="167" fontId="57" fillId="20" borderId="99" xfId="5" applyNumberFormat="1" applyFont="1" applyFill="1" applyBorder="1" applyAlignment="1" applyProtection="1">
      <alignment horizontal="center" vertical="center" wrapText="1"/>
    </xf>
    <xf numFmtId="168" fontId="0" fillId="0" borderId="14" xfId="0" applyNumberFormat="1" applyBorder="1" applyAlignment="1" applyProtection="1">
      <alignment horizontal="center" vertical="center" wrapText="1"/>
    </xf>
    <xf numFmtId="168" fontId="0" fillId="0" borderId="23" xfId="0" applyNumberFormat="1" applyBorder="1" applyAlignment="1" applyProtection="1">
      <alignment horizontal="center" vertical="center" wrapText="1"/>
    </xf>
    <xf numFmtId="168" fontId="0" fillId="0" borderId="13" xfId="0" applyNumberFormat="1" applyBorder="1" applyAlignment="1" applyProtection="1">
      <alignment horizontal="center" vertical="center" wrapText="1"/>
    </xf>
    <xf numFmtId="168" fontId="14" fillId="5" borderId="84" xfId="3" applyNumberFormat="1" applyFont="1" applyBorder="1" applyAlignment="1" applyProtection="1">
      <alignment horizontal="center" vertical="center" wrapText="1"/>
    </xf>
    <xf numFmtId="168" fontId="14" fillId="5" borderId="53" xfId="3" applyNumberFormat="1" applyFont="1" applyBorder="1" applyAlignment="1" applyProtection="1">
      <alignment horizontal="center" vertical="center" wrapText="1"/>
    </xf>
    <xf numFmtId="168" fontId="57" fillId="20" borderId="53" xfId="3" applyNumberFormat="1" applyFont="1" applyFill="1" applyBorder="1" applyAlignment="1" applyProtection="1">
      <alignment horizontal="center" vertical="center" wrapText="1"/>
    </xf>
    <xf numFmtId="168" fontId="14" fillId="5" borderId="129" xfId="3" applyNumberFormat="1" applyFont="1" applyBorder="1" applyAlignment="1" applyProtection="1">
      <alignment horizontal="center" vertical="center" wrapText="1"/>
    </xf>
    <xf numFmtId="168" fontId="57" fillId="20" borderId="97" xfId="3" applyNumberFormat="1" applyFont="1" applyFill="1" applyBorder="1" applyAlignment="1" applyProtection="1">
      <alignment horizontal="center" vertical="center" wrapText="1"/>
    </xf>
    <xf numFmtId="168" fontId="0" fillId="0" borderId="24" xfId="0" applyNumberFormat="1" applyBorder="1" applyAlignment="1" applyProtection="1">
      <alignment horizontal="center" vertical="center" wrapText="1"/>
    </xf>
    <xf numFmtId="168" fontId="0" fillId="0" borderId="0" xfId="0" applyNumberFormat="1" applyBorder="1" applyAlignment="1" applyProtection="1">
      <alignment horizontal="center" vertical="center" wrapText="1"/>
    </xf>
    <xf numFmtId="168" fontId="0" fillId="0" borderId="6" xfId="0" applyNumberFormat="1" applyBorder="1" applyAlignment="1" applyProtection="1">
      <alignment horizontal="center" vertical="center" wrapText="1"/>
    </xf>
    <xf numFmtId="168" fontId="14" fillId="5" borderId="41" xfId="3" applyNumberFormat="1" applyFont="1" applyBorder="1" applyAlignment="1" applyProtection="1">
      <alignment horizontal="center" vertical="center" wrapText="1"/>
    </xf>
    <xf numFmtId="168" fontId="14" fillId="5" borderId="17" xfId="3" applyNumberFormat="1" applyFont="1" applyBorder="1" applyAlignment="1" applyProtection="1">
      <alignment horizontal="center" vertical="center" wrapText="1"/>
    </xf>
    <xf numFmtId="168" fontId="57" fillId="20" borderId="17" xfId="3" applyNumberFormat="1" applyFont="1" applyFill="1" applyBorder="1" applyAlignment="1" applyProtection="1">
      <alignment horizontal="center" vertical="center" wrapText="1"/>
    </xf>
    <xf numFmtId="168" fontId="14" fillId="5" borderId="127" xfId="3" applyNumberFormat="1" applyFont="1" applyBorder="1" applyAlignment="1" applyProtection="1">
      <alignment horizontal="center" vertical="center" wrapText="1"/>
    </xf>
    <xf numFmtId="168" fontId="57" fillId="20" borderId="98" xfId="3" applyNumberFormat="1" applyFont="1" applyFill="1" applyBorder="1" applyAlignment="1" applyProtection="1">
      <alignment horizontal="center" vertical="center" wrapText="1"/>
    </xf>
    <xf numFmtId="168" fontId="0" fillId="0" borderId="15" xfId="0" applyNumberFormat="1" applyBorder="1" applyAlignment="1" applyProtection="1">
      <alignment horizontal="center" vertical="center" wrapText="1"/>
    </xf>
    <xf numFmtId="168" fontId="0" fillId="0" borderId="26" xfId="0" applyNumberFormat="1" applyBorder="1" applyAlignment="1" applyProtection="1">
      <alignment horizontal="center" vertical="center" wrapText="1"/>
    </xf>
    <xf numFmtId="168" fontId="0" fillId="0" borderId="5" xfId="0" applyNumberFormat="1" applyBorder="1" applyAlignment="1" applyProtection="1">
      <alignment horizontal="center" vertical="center" wrapText="1"/>
    </xf>
    <xf numFmtId="168" fontId="14" fillId="5" borderId="85" xfId="3" applyNumberFormat="1" applyFont="1" applyBorder="1" applyAlignment="1" applyProtection="1">
      <alignment horizontal="center" vertical="center" wrapText="1"/>
    </xf>
    <xf numFmtId="168" fontId="14" fillId="5" borderId="56" xfId="3" applyNumberFormat="1" applyFont="1" applyBorder="1" applyAlignment="1" applyProtection="1">
      <alignment horizontal="center" vertical="center" wrapText="1"/>
    </xf>
    <xf numFmtId="168" fontId="57" fillId="20" borderId="56" xfId="3" applyNumberFormat="1" applyFont="1" applyFill="1" applyBorder="1" applyAlignment="1" applyProtection="1">
      <alignment horizontal="center" vertical="center" wrapText="1"/>
    </xf>
    <xf numFmtId="168" fontId="14" fillId="5" borderId="128" xfId="3" applyNumberFormat="1" applyFont="1" applyBorder="1" applyAlignment="1" applyProtection="1">
      <alignment horizontal="center" vertical="center" wrapText="1"/>
    </xf>
    <xf numFmtId="168" fontId="57" fillId="20" borderId="99" xfId="3" applyNumberFormat="1" applyFont="1" applyFill="1" applyBorder="1" applyAlignment="1" applyProtection="1">
      <alignment horizontal="center" vertical="center" wrapText="1"/>
    </xf>
    <xf numFmtId="9" fontId="33" fillId="0" borderId="18" xfId="0" applyNumberFormat="1" applyFont="1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33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33" fillId="0" borderId="21" xfId="0" applyFont="1" applyBorder="1" applyAlignment="1" applyProtection="1">
      <alignment horizontal="left" vertical="top" wrapText="1"/>
    </xf>
    <xf numFmtId="0" fontId="0" fillId="0" borderId="21" xfId="0" applyBorder="1" applyAlignment="1" applyProtection="1">
      <alignment horizontal="left" vertical="top" wrapText="1"/>
    </xf>
    <xf numFmtId="0" fontId="8" fillId="16" borderId="28" xfId="0" applyFont="1" applyFill="1" applyBorder="1" applyAlignment="1" applyProtection="1">
      <alignment horizontal="left" vertical="top" wrapText="1"/>
    </xf>
    <xf numFmtId="0" fontId="0" fillId="16" borderId="29" xfId="0" applyFill="1" applyBorder="1" applyAlignment="1" applyProtection="1">
      <alignment horizontal="left" vertical="top" wrapText="1"/>
    </xf>
    <xf numFmtId="0" fontId="0" fillId="16" borderId="30" xfId="0" applyFill="1" applyBorder="1" applyAlignment="1" applyProtection="1">
      <alignment horizontal="left" vertical="top" wrapText="1"/>
    </xf>
    <xf numFmtId="0" fontId="55" fillId="16" borderId="29" xfId="0" applyFont="1" applyFill="1" applyBorder="1" applyAlignment="1" applyProtection="1">
      <alignment horizontal="left" vertical="top" wrapText="1"/>
    </xf>
    <xf numFmtId="0" fontId="14" fillId="16" borderId="141" xfId="3" applyFont="1" applyFill="1" applyBorder="1" applyAlignment="1" applyProtection="1">
      <alignment horizontal="right" vertical="top" wrapText="1"/>
    </xf>
    <xf numFmtId="0" fontId="57" fillId="16" borderId="141" xfId="3" applyFont="1" applyFill="1" applyBorder="1" applyAlignment="1" applyProtection="1">
      <alignment horizontal="right" vertical="top" wrapText="1"/>
    </xf>
    <xf numFmtId="0" fontId="14" fillId="16" borderId="142" xfId="3" applyFont="1" applyFill="1" applyBorder="1" applyAlignment="1" applyProtection="1">
      <alignment horizontal="right" vertical="top" wrapText="1"/>
    </xf>
    <xf numFmtId="0" fontId="57" fillId="16" borderId="30" xfId="3" applyFont="1" applyFill="1" applyBorder="1" applyAlignment="1" applyProtection="1">
      <alignment horizontal="right" vertical="top" wrapText="1"/>
    </xf>
    <xf numFmtId="0" fontId="0" fillId="7" borderId="6" xfId="0" applyFill="1" applyBorder="1" applyAlignment="1" applyProtection="1">
      <alignment horizontal="left" vertical="top" wrapText="1"/>
    </xf>
    <xf numFmtId="167" fontId="58" fillId="20" borderId="24" xfId="5" applyNumberFormat="1" applyFont="1" applyFill="1" applyBorder="1" applyAlignment="1" applyProtection="1">
      <alignment horizontal="center" vertical="center" wrapText="1"/>
    </xf>
    <xf numFmtId="167" fontId="58" fillId="20" borderId="0" xfId="5" applyNumberFormat="1" applyFont="1" applyFill="1" applyBorder="1" applyAlignment="1" applyProtection="1">
      <alignment horizontal="center" vertical="center" wrapText="1"/>
    </xf>
    <xf numFmtId="167" fontId="58" fillId="20" borderId="6" xfId="5" applyNumberFormat="1" applyFont="1" applyFill="1" applyBorder="1" applyAlignment="1" applyProtection="1">
      <alignment horizontal="center" vertical="center" wrapText="1"/>
    </xf>
    <xf numFmtId="167" fontId="57" fillId="23" borderId="137" xfId="5" applyNumberFormat="1" applyFont="1" applyFill="1" applyBorder="1" applyAlignment="1" applyProtection="1">
      <alignment horizontal="center" vertical="center" wrapText="1"/>
    </xf>
    <xf numFmtId="167" fontId="57" fillId="23" borderId="138" xfId="5" applyNumberFormat="1" applyFont="1" applyFill="1" applyBorder="1" applyAlignment="1" applyProtection="1">
      <alignment horizontal="center" vertical="center" wrapText="1"/>
    </xf>
    <xf numFmtId="167" fontId="57" fillId="20" borderId="138" xfId="5" applyNumberFormat="1" applyFont="1" applyFill="1" applyBorder="1" applyAlignment="1" applyProtection="1">
      <alignment horizontal="center" vertical="center" wrapText="1"/>
    </xf>
    <xf numFmtId="167" fontId="57" fillId="23" borderId="139" xfId="5" applyNumberFormat="1" applyFont="1" applyFill="1" applyBorder="1" applyAlignment="1" applyProtection="1">
      <alignment horizontal="center" vertical="center" wrapText="1"/>
    </xf>
    <xf numFmtId="167" fontId="57" fillId="20" borderId="140" xfId="5" applyNumberFormat="1" applyFont="1" applyFill="1" applyBorder="1" applyAlignment="1" applyProtection="1">
      <alignment horizontal="center" vertical="center" wrapText="1"/>
    </xf>
    <xf numFmtId="9" fontId="33" fillId="0" borderId="24" xfId="0" applyNumberFormat="1" applyFont="1" applyBorder="1" applyAlignment="1" applyProtection="1">
      <alignment horizontal="left" vertical="top" wrapText="1"/>
    </xf>
    <xf numFmtId="167" fontId="57" fillId="23" borderId="41" xfId="5" applyNumberFormat="1" applyFont="1" applyFill="1" applyBorder="1" applyAlignment="1" applyProtection="1">
      <alignment horizontal="center" vertical="center" wrapText="1"/>
    </xf>
    <xf numFmtId="167" fontId="57" fillId="23" borderId="17" xfId="5" applyNumberFormat="1" applyFont="1" applyFill="1" applyBorder="1" applyAlignment="1" applyProtection="1">
      <alignment horizontal="center" vertical="center" wrapText="1"/>
    </xf>
    <xf numFmtId="167" fontId="57" fillId="23" borderId="127" xfId="5" applyNumberFormat="1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left" vertical="top" wrapText="1"/>
    </xf>
    <xf numFmtId="167" fontId="58" fillId="20" borderId="15" xfId="5" applyNumberFormat="1" applyFont="1" applyFill="1" applyBorder="1" applyAlignment="1" applyProtection="1">
      <alignment horizontal="center" vertical="center" wrapText="1"/>
    </xf>
    <xf numFmtId="167" fontId="58" fillId="20" borderId="26" xfId="5" applyNumberFormat="1" applyFont="1" applyFill="1" applyBorder="1" applyAlignment="1" applyProtection="1">
      <alignment horizontal="center" vertical="center" wrapText="1"/>
    </xf>
    <xf numFmtId="167" fontId="58" fillId="20" borderId="5" xfId="5" applyNumberFormat="1" applyFont="1" applyFill="1" applyBorder="1" applyAlignment="1" applyProtection="1">
      <alignment horizontal="center" vertical="center" wrapText="1"/>
    </xf>
    <xf numFmtId="167" fontId="57" fillId="23" borderId="85" xfId="5" applyNumberFormat="1" applyFont="1" applyFill="1" applyBorder="1" applyAlignment="1" applyProtection="1">
      <alignment horizontal="center" vertical="center" wrapText="1"/>
    </xf>
    <xf numFmtId="167" fontId="57" fillId="23" borderId="56" xfId="5" applyNumberFormat="1" applyFont="1" applyFill="1" applyBorder="1" applyAlignment="1" applyProtection="1">
      <alignment horizontal="center" vertical="center" wrapText="1"/>
    </xf>
    <xf numFmtId="167" fontId="57" fillId="23" borderId="128" xfId="5" applyNumberFormat="1" applyFont="1" applyFill="1" applyBorder="1" applyAlignment="1" applyProtection="1">
      <alignment horizontal="center" vertical="center" wrapText="1"/>
    </xf>
    <xf numFmtId="167" fontId="57" fillId="23" borderId="84" xfId="5" applyNumberFormat="1" applyFont="1" applyFill="1" applyBorder="1" applyAlignment="1" applyProtection="1">
      <alignment horizontal="center" vertical="center" wrapText="1"/>
    </xf>
    <xf numFmtId="167" fontId="57" fillId="23" borderId="53" xfId="5" applyNumberFormat="1" applyFont="1" applyFill="1" applyBorder="1" applyAlignment="1" applyProtection="1">
      <alignment horizontal="center" vertical="center" wrapText="1"/>
    </xf>
    <xf numFmtId="167" fontId="57" fillId="23" borderId="129" xfId="5" applyNumberFormat="1" applyFont="1" applyFill="1" applyBorder="1" applyAlignment="1" applyProtection="1">
      <alignment horizontal="center" vertical="center" wrapText="1"/>
    </xf>
    <xf numFmtId="167" fontId="57" fillId="20" borderId="97" xfId="5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left" vertical="top" wrapText="1"/>
    </xf>
    <xf numFmtId="168" fontId="58" fillId="20" borderId="24" xfId="5" applyNumberFormat="1" applyFont="1" applyFill="1" applyBorder="1" applyAlignment="1" applyProtection="1">
      <alignment horizontal="center" vertical="center" wrapText="1"/>
    </xf>
    <xf numFmtId="168" fontId="58" fillId="20" borderId="0" xfId="5" applyNumberFormat="1" applyFont="1" applyFill="1" applyBorder="1" applyAlignment="1" applyProtection="1">
      <alignment horizontal="center" vertical="center" wrapText="1"/>
    </xf>
    <xf numFmtId="168" fontId="58" fillId="20" borderId="6" xfId="5" applyNumberFormat="1" applyFont="1" applyFill="1" applyBorder="1" applyAlignment="1" applyProtection="1">
      <alignment horizontal="center" vertical="center" wrapText="1"/>
    </xf>
    <xf numFmtId="168" fontId="57" fillId="23" borderId="84" xfId="5" applyNumberFormat="1" applyFont="1" applyFill="1" applyBorder="1" applyAlignment="1" applyProtection="1">
      <alignment horizontal="center" vertical="center" wrapText="1"/>
    </xf>
    <xf numFmtId="168" fontId="57" fillId="23" borderId="53" xfId="5" applyNumberFormat="1" applyFont="1" applyFill="1" applyBorder="1" applyAlignment="1" applyProtection="1">
      <alignment horizontal="center" vertical="center" wrapText="1"/>
    </xf>
    <xf numFmtId="168" fontId="57" fillId="20" borderId="53" xfId="5" applyNumberFormat="1" applyFont="1" applyFill="1" applyBorder="1" applyAlignment="1" applyProtection="1">
      <alignment horizontal="center" vertical="center" wrapText="1"/>
    </xf>
    <xf numFmtId="168" fontId="57" fillId="23" borderId="129" xfId="5" applyNumberFormat="1" applyFont="1" applyFill="1" applyBorder="1" applyAlignment="1" applyProtection="1">
      <alignment horizontal="center" vertical="center" wrapText="1"/>
    </xf>
    <xf numFmtId="168" fontId="57" fillId="20" borderId="97" xfId="5" applyNumberFormat="1" applyFont="1" applyFill="1" applyBorder="1" applyAlignment="1" applyProtection="1">
      <alignment horizontal="center" vertical="center" wrapText="1"/>
    </xf>
    <xf numFmtId="168" fontId="57" fillId="23" borderId="41" xfId="5" applyNumberFormat="1" applyFont="1" applyFill="1" applyBorder="1" applyAlignment="1" applyProtection="1">
      <alignment horizontal="center" vertical="center" wrapText="1"/>
    </xf>
    <xf numFmtId="168" fontId="57" fillId="23" borderId="17" xfId="5" applyNumberFormat="1" applyFont="1" applyFill="1" applyBorder="1" applyAlignment="1" applyProtection="1">
      <alignment horizontal="center" vertical="center" wrapText="1"/>
    </xf>
    <xf numFmtId="168" fontId="57" fillId="20" borderId="17" xfId="5" applyNumberFormat="1" applyFont="1" applyFill="1" applyBorder="1" applyAlignment="1" applyProtection="1">
      <alignment horizontal="center" vertical="center" wrapText="1"/>
    </xf>
    <xf numFmtId="168" fontId="57" fillId="23" borderId="127" xfId="5" applyNumberFormat="1" applyFont="1" applyFill="1" applyBorder="1" applyAlignment="1" applyProtection="1">
      <alignment horizontal="center" vertical="center" wrapText="1"/>
    </xf>
    <xf numFmtId="168" fontId="57" fillId="20" borderId="98" xfId="5" applyNumberFormat="1" applyFont="1" applyFill="1" applyBorder="1" applyAlignment="1" applyProtection="1">
      <alignment horizontal="center" vertical="center" wrapText="1"/>
    </xf>
    <xf numFmtId="168" fontId="58" fillId="20" borderId="15" xfId="5" applyNumberFormat="1" applyFont="1" applyFill="1" applyBorder="1" applyAlignment="1" applyProtection="1">
      <alignment horizontal="center" vertical="center" wrapText="1"/>
    </xf>
    <xf numFmtId="168" fontId="58" fillId="20" borderId="26" xfId="5" applyNumberFormat="1" applyFont="1" applyFill="1" applyBorder="1" applyAlignment="1" applyProtection="1">
      <alignment horizontal="center" vertical="center" wrapText="1"/>
    </xf>
    <xf numFmtId="168" fontId="58" fillId="20" borderId="5" xfId="5" applyNumberFormat="1" applyFont="1" applyFill="1" applyBorder="1" applyAlignment="1" applyProtection="1">
      <alignment horizontal="center" vertical="center" wrapText="1"/>
    </xf>
    <xf numFmtId="168" fontId="57" fillId="23" borderId="85" xfId="5" applyNumberFormat="1" applyFont="1" applyFill="1" applyBorder="1" applyAlignment="1" applyProtection="1">
      <alignment horizontal="center" vertical="center" wrapText="1"/>
    </xf>
    <xf numFmtId="168" fontId="57" fillId="23" borderId="56" xfId="5" applyNumberFormat="1" applyFont="1" applyFill="1" applyBorder="1" applyAlignment="1" applyProtection="1">
      <alignment horizontal="center" vertical="center" wrapText="1"/>
    </xf>
    <xf numFmtId="168" fontId="57" fillId="20" borderId="56" xfId="5" applyNumberFormat="1" applyFont="1" applyFill="1" applyBorder="1" applyAlignment="1" applyProtection="1">
      <alignment horizontal="center" vertical="center" wrapText="1"/>
    </xf>
    <xf numFmtId="168" fontId="57" fillId="23" borderId="128" xfId="5" applyNumberFormat="1" applyFont="1" applyFill="1" applyBorder="1" applyAlignment="1" applyProtection="1">
      <alignment horizontal="center" vertical="center" wrapText="1"/>
    </xf>
    <xf numFmtId="168" fontId="57" fillId="20" borderId="99" xfId="5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6" xfId="0" applyFont="1" applyBorder="1" applyAlignment="1">
      <alignment horizontal="left"/>
    </xf>
    <xf numFmtId="3" fontId="7" fillId="4" borderId="80" xfId="2" applyNumberFormat="1" applyBorder="1" applyAlignment="1">
      <alignment horizontal="right"/>
    </xf>
    <xf numFmtId="0" fontId="35" fillId="17" borderId="165" xfId="0" applyFont="1" applyFill="1" applyBorder="1" applyAlignment="1">
      <alignment horizontal="center" vertical="center"/>
    </xf>
    <xf numFmtId="0" fontId="35" fillId="0" borderId="165" xfId="0" applyFont="1" applyBorder="1" applyAlignment="1">
      <alignment horizontal="center" vertical="center"/>
    </xf>
    <xf numFmtId="0" fontId="35" fillId="0" borderId="131" xfId="0" applyFont="1" applyFill="1" applyBorder="1" applyAlignment="1">
      <alignment horizontal="center" vertical="center"/>
    </xf>
    <xf numFmtId="0" fontId="35" fillId="0" borderId="130" xfId="0" applyFont="1" applyFill="1" applyBorder="1" applyAlignment="1">
      <alignment horizontal="center" vertical="center"/>
    </xf>
    <xf numFmtId="3" fontId="7" fillId="4" borderId="93" xfId="2" applyNumberFormat="1" applyBorder="1" applyProtection="1">
      <protection locked="0"/>
    </xf>
    <xf numFmtId="3" fontId="7" fillId="4" borderId="36" xfId="2" applyNumberFormat="1" applyBorder="1" applyProtection="1">
      <protection locked="0"/>
    </xf>
    <xf numFmtId="3" fontId="7" fillId="4" borderId="78" xfId="2" applyNumberFormat="1" applyBorder="1" applyProtection="1">
      <protection locked="0"/>
    </xf>
    <xf numFmtId="0" fontId="5" fillId="26" borderId="4" xfId="0" applyFont="1" applyFill="1" applyBorder="1" applyAlignment="1">
      <alignment horizontal="left" vertical="top" wrapText="1"/>
    </xf>
    <xf numFmtId="0" fontId="5" fillId="26" borderId="5" xfId="0" applyFont="1" applyFill="1" applyBorder="1" applyAlignment="1">
      <alignment horizontal="justify" vertical="top" wrapText="1"/>
    </xf>
    <xf numFmtId="0" fontId="5" fillId="26" borderId="5" xfId="0" applyFont="1" applyFill="1" applyBorder="1" applyAlignment="1">
      <alignment horizontal="center" vertical="top" wrapText="1"/>
    </xf>
    <xf numFmtId="0" fontId="5" fillId="26" borderId="6" xfId="0" applyFont="1" applyFill="1" applyBorder="1" applyAlignment="1">
      <alignment horizontal="justify" vertical="top" wrapText="1"/>
    </xf>
    <xf numFmtId="0" fontId="5" fillId="26" borderId="24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justify" vertical="top" wrapText="1"/>
    </xf>
    <xf numFmtId="0" fontId="5" fillId="26" borderId="6" xfId="0" applyFont="1" applyFill="1" applyBorder="1" applyAlignment="1">
      <alignment horizontal="center" vertical="top" wrapText="1"/>
    </xf>
    <xf numFmtId="0" fontId="5" fillId="26" borderId="69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center" vertical="top" wrapText="1"/>
    </xf>
    <xf numFmtId="2" fontId="3" fillId="17" borderId="6" xfId="1" applyNumberFormat="1" applyFont="1" applyFill="1" applyBorder="1" applyAlignment="1">
      <alignment vertical="top" wrapText="1"/>
    </xf>
    <xf numFmtId="2" fontId="3" fillId="17" borderId="69" xfId="1" applyNumberFormat="1" applyFont="1" applyFill="1" applyBorder="1" applyAlignment="1">
      <alignment vertical="top" wrapText="1"/>
    </xf>
    <xf numFmtId="0" fontId="26" fillId="0" borderId="0" xfId="0" applyFont="1" applyAlignment="1" applyProtection="1">
      <alignment vertical="center"/>
    </xf>
    <xf numFmtId="0" fontId="0" fillId="0" borderId="0" xfId="0" applyProtection="1"/>
    <xf numFmtId="165" fontId="8" fillId="19" borderId="147" xfId="5" applyNumberFormat="1" applyFont="1" applyFill="1" applyBorder="1" applyProtection="1"/>
    <xf numFmtId="0" fontId="56" fillId="0" borderId="0" xfId="0" applyFont="1" applyFill="1" applyProtection="1"/>
    <xf numFmtId="0" fontId="8" fillId="0" borderId="125" xfId="0" applyFont="1" applyFill="1" applyBorder="1" applyProtection="1"/>
    <xf numFmtId="0" fontId="0" fillId="0" borderId="125" xfId="0" applyBorder="1" applyProtection="1"/>
    <xf numFmtId="0" fontId="0" fillId="0" borderId="34" xfId="0" applyBorder="1" applyProtection="1"/>
    <xf numFmtId="0" fontId="0" fillId="17" borderId="113" xfId="0" applyFont="1" applyFill="1" applyBorder="1" applyProtection="1"/>
    <xf numFmtId="0" fontId="0" fillId="0" borderId="0" xfId="0" applyFill="1" applyBorder="1" applyProtection="1"/>
    <xf numFmtId="0" fontId="0" fillId="17" borderId="113" xfId="0" applyFill="1" applyBorder="1" applyProtection="1"/>
    <xf numFmtId="0" fontId="0" fillId="0" borderId="0" xfId="0" applyFill="1" applyProtection="1"/>
    <xf numFmtId="0" fontId="0" fillId="0" borderId="0" xfId="0" applyAlignment="1" applyProtection="1"/>
    <xf numFmtId="44" fontId="39" fillId="17" borderId="166" xfId="7" applyFont="1" applyFill="1" applyBorder="1" applyAlignment="1">
      <alignment horizontal="left" vertical="center"/>
    </xf>
    <xf numFmtId="0" fontId="39" fillId="17" borderId="167" xfId="0" applyFont="1" applyFill="1" applyBorder="1" applyAlignment="1">
      <alignment horizontal="left" vertical="center"/>
    </xf>
    <xf numFmtId="44" fontId="39" fillId="17" borderId="169" xfId="7" applyFont="1" applyFill="1" applyBorder="1" applyAlignment="1">
      <alignment horizontal="left" vertical="center"/>
    </xf>
    <xf numFmtId="0" fontId="36" fillId="12" borderId="69" xfId="0" applyFont="1" applyFill="1" applyBorder="1" applyAlignment="1">
      <alignment horizontal="left" vertical="center"/>
    </xf>
    <xf numFmtId="0" fontId="39" fillId="17" borderId="167" xfId="0" applyFont="1" applyFill="1" applyBorder="1" applyAlignment="1">
      <alignment horizontal="center" vertical="center"/>
    </xf>
    <xf numFmtId="0" fontId="39" fillId="17" borderId="135" xfId="0" applyFont="1" applyFill="1" applyBorder="1" applyAlignment="1">
      <alignment horizontal="center" vertical="center"/>
    </xf>
    <xf numFmtId="44" fontId="57" fillId="20" borderId="168" xfId="7" applyFont="1" applyFill="1" applyBorder="1" applyAlignment="1" applyProtection="1">
      <alignment horizontal="center" vertical="center" wrapText="1"/>
    </xf>
    <xf numFmtId="0" fontId="36" fillId="12" borderId="69" xfId="0" applyFont="1" applyFill="1" applyBorder="1" applyAlignment="1">
      <alignment horizontal="center" vertical="center"/>
    </xf>
    <xf numFmtId="44" fontId="39" fillId="17" borderId="167" xfId="7" applyFont="1" applyFill="1" applyBorder="1" applyAlignment="1">
      <alignment horizontal="center" vertical="center"/>
    </xf>
    <xf numFmtId="44" fontId="39" fillId="17" borderId="135" xfId="7" applyFont="1" applyFill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165" fontId="63" fillId="19" borderId="22" xfId="5" applyNumberFormat="1" applyFont="1" applyFill="1" applyBorder="1" applyProtection="1"/>
    <xf numFmtId="165" fontId="63" fillId="19" borderId="125" xfId="5" applyNumberFormat="1" applyFont="1" applyFill="1" applyBorder="1" applyProtection="1"/>
    <xf numFmtId="165" fontId="63" fillId="19" borderId="147" xfId="5" applyNumberFormat="1" applyFont="1" applyFill="1" applyBorder="1" applyProtection="1"/>
    <xf numFmtId="165" fontId="58" fillId="22" borderId="22" xfId="5" applyNumberFormat="1" applyFont="1" applyFill="1" applyBorder="1" applyProtection="1"/>
    <xf numFmtId="165" fontId="58" fillId="22" borderId="125" xfId="5" applyNumberFormat="1" applyFont="1" applyFill="1" applyBorder="1" applyProtection="1"/>
    <xf numFmtId="165" fontId="58" fillId="22" borderId="147" xfId="5" applyNumberFormat="1" applyFont="1" applyFill="1" applyBorder="1" applyProtection="1"/>
    <xf numFmtId="165" fontId="64" fillId="21" borderId="22" xfId="5" applyNumberFormat="1" applyFont="1" applyFill="1" applyBorder="1" applyProtection="1"/>
    <xf numFmtId="165" fontId="64" fillId="21" borderId="125" xfId="5" applyNumberFormat="1" applyFont="1" applyFill="1" applyBorder="1" applyProtection="1"/>
    <xf numFmtId="165" fontId="64" fillId="21" borderId="147" xfId="5" applyNumberFormat="1" applyFont="1" applyFill="1" applyBorder="1" applyProtection="1"/>
    <xf numFmtId="165" fontId="64" fillId="21" borderId="22" xfId="5" applyNumberFormat="1" applyFont="1" applyFill="1" applyBorder="1" applyAlignment="1" applyProtection="1">
      <alignment horizontal="center"/>
    </xf>
    <xf numFmtId="165" fontId="64" fillId="21" borderId="125" xfId="5" applyNumberFormat="1" applyFont="1" applyFill="1" applyBorder="1" applyAlignment="1" applyProtection="1">
      <alignment horizontal="center"/>
    </xf>
    <xf numFmtId="165" fontId="64" fillId="21" borderId="147" xfId="5" applyNumberFormat="1" applyFont="1" applyFill="1" applyBorder="1" applyAlignment="1" applyProtection="1">
      <alignment horizontal="center"/>
    </xf>
    <xf numFmtId="165" fontId="64" fillId="21" borderId="86" xfId="5" applyNumberFormat="1" applyFont="1" applyFill="1" applyBorder="1" applyProtection="1"/>
    <xf numFmtId="165" fontId="64" fillId="21" borderId="122" xfId="5" applyNumberFormat="1" applyFont="1" applyFill="1" applyBorder="1" applyProtection="1"/>
    <xf numFmtId="165" fontId="64" fillId="21" borderId="155" xfId="5" applyNumberFormat="1" applyFont="1" applyFill="1" applyBorder="1" applyProtection="1"/>
    <xf numFmtId="165" fontId="64" fillId="21" borderId="148" xfId="5" applyNumberFormat="1" applyFont="1" applyFill="1" applyBorder="1" applyProtection="1"/>
    <xf numFmtId="0" fontId="68" fillId="13" borderId="6" xfId="0" applyFont="1" applyFill="1" applyBorder="1" applyAlignment="1">
      <alignment horizontal="center" vertical="center"/>
    </xf>
    <xf numFmtId="3" fontId="69" fillId="14" borderId="28" xfId="0" applyNumberFormat="1" applyFont="1" applyFill="1" applyBorder="1" applyAlignment="1">
      <alignment horizontal="center" vertical="center"/>
    </xf>
    <xf numFmtId="3" fontId="69" fillId="14" borderId="30" xfId="0" applyNumberFormat="1" applyFont="1" applyFill="1" applyBorder="1" applyAlignment="1">
      <alignment horizontal="center" vertical="center"/>
    </xf>
    <xf numFmtId="0" fontId="68" fillId="22" borderId="24" xfId="0" applyFont="1" applyFill="1" applyBorder="1" applyAlignment="1">
      <alignment horizontal="center" vertical="center"/>
    </xf>
    <xf numFmtId="0" fontId="68" fillId="22" borderId="6" xfId="0" applyFont="1" applyFill="1" applyBorder="1" applyAlignment="1">
      <alignment horizontal="center" vertical="center"/>
    </xf>
    <xf numFmtId="3" fontId="68" fillId="22" borderId="24" xfId="0" applyNumberFormat="1" applyFont="1" applyFill="1" applyBorder="1" applyAlignment="1">
      <alignment horizontal="center" vertical="center"/>
    </xf>
    <xf numFmtId="3" fontId="68" fillId="22" borderId="6" xfId="0" applyNumberFormat="1" applyFont="1" applyFill="1" applyBorder="1" applyAlignment="1">
      <alignment horizontal="center" vertical="center"/>
    </xf>
    <xf numFmtId="0" fontId="68" fillId="22" borderId="131" xfId="0" applyFont="1" applyFill="1" applyBorder="1" applyAlignment="1">
      <alignment horizontal="center" vertical="center"/>
    </xf>
    <xf numFmtId="0" fontId="68" fillId="22" borderId="130" xfId="0" applyFont="1" applyFill="1" applyBorder="1" applyAlignment="1">
      <alignment horizontal="center" vertical="center"/>
    </xf>
    <xf numFmtId="0" fontId="35" fillId="17" borderId="24" xfId="0" applyFont="1" applyFill="1" applyBorder="1" applyAlignment="1">
      <alignment horizontal="center" vertical="center"/>
    </xf>
    <xf numFmtId="0" fontId="35" fillId="17" borderId="131" xfId="0" applyFont="1" applyFill="1" applyBorder="1" applyAlignment="1">
      <alignment horizontal="center" vertical="center"/>
    </xf>
    <xf numFmtId="0" fontId="35" fillId="17" borderId="132" xfId="0" applyFont="1" applyFill="1" applyBorder="1" applyAlignment="1">
      <alignment horizontal="center" vertical="center"/>
    </xf>
    <xf numFmtId="0" fontId="35" fillId="17" borderId="91" xfId="3" applyFont="1" applyFill="1" applyBorder="1" applyAlignment="1">
      <alignment horizontal="center"/>
    </xf>
    <xf numFmtId="0" fontId="35" fillId="17" borderId="136" xfId="3" applyFont="1" applyFill="1" applyBorder="1" applyAlignment="1">
      <alignment horizontal="center"/>
    </xf>
    <xf numFmtId="0" fontId="35" fillId="17" borderId="92" xfId="3" applyFont="1" applyFill="1" applyBorder="1" applyAlignment="1">
      <alignment horizontal="center"/>
    </xf>
    <xf numFmtId="0" fontId="65" fillId="22" borderId="65" xfId="0" applyFont="1" applyFill="1" applyBorder="1" applyAlignment="1">
      <alignment horizontal="center" vertical="center"/>
    </xf>
    <xf numFmtId="0" fontId="65" fillId="22" borderId="64" xfId="0" applyFont="1" applyFill="1" applyBorder="1" applyAlignment="1">
      <alignment horizontal="center" vertical="center"/>
    </xf>
    <xf numFmtId="0" fontId="58" fillId="22" borderId="119" xfId="0" applyFont="1" applyFill="1" applyBorder="1"/>
    <xf numFmtId="0" fontId="58" fillId="22" borderId="60" xfId="0" applyFont="1" applyFill="1" applyBorder="1"/>
    <xf numFmtId="0" fontId="58" fillId="22" borderId="22" xfId="0" applyFont="1" applyFill="1" applyBorder="1"/>
    <xf numFmtId="0" fontId="58" fillId="22" borderId="113" xfId="0" applyFont="1" applyFill="1" applyBorder="1"/>
    <xf numFmtId="0" fontId="58" fillId="22" borderId="86" xfId="0" applyFont="1" applyFill="1" applyBorder="1"/>
    <xf numFmtId="0" fontId="58" fillId="22" borderId="116" xfId="0" applyFont="1" applyFill="1" applyBorder="1"/>
    <xf numFmtId="0" fontId="58" fillId="22" borderId="115" xfId="0" applyFont="1" applyFill="1" applyBorder="1"/>
    <xf numFmtId="4" fontId="67" fillId="24" borderId="51" xfId="2" applyNumberFormat="1" applyFont="1" applyFill="1" applyBorder="1" applyAlignment="1">
      <alignment horizontal="right" vertical="top" wrapText="1"/>
    </xf>
    <xf numFmtId="4" fontId="67" fillId="24" borderId="42" xfId="2" applyNumberFormat="1" applyFont="1" applyFill="1" applyBorder="1" applyAlignment="1">
      <alignment horizontal="right" vertical="top" wrapText="1"/>
    </xf>
    <xf numFmtId="4" fontId="67" fillId="24" borderId="52" xfId="2" applyNumberFormat="1" applyFont="1" applyFill="1" applyBorder="1" applyAlignment="1">
      <alignment horizontal="right" vertical="top" wrapText="1"/>
    </xf>
    <xf numFmtId="4" fontId="67" fillId="24" borderId="106" xfId="2" applyNumberFormat="1" applyFont="1" applyFill="1" applyBorder="1" applyAlignment="1">
      <alignment horizontal="right" vertical="top" wrapText="1"/>
    </xf>
    <xf numFmtId="4" fontId="67" fillId="24" borderId="95" xfId="2" applyNumberFormat="1" applyFont="1" applyFill="1" applyBorder="1" applyAlignment="1">
      <alignment horizontal="right" vertical="top" wrapText="1"/>
    </xf>
    <xf numFmtId="4" fontId="67" fillId="24" borderId="109" xfId="2" applyNumberFormat="1" applyFont="1" applyFill="1" applyBorder="1" applyAlignment="1">
      <alignment horizontal="right" vertical="top" wrapText="1"/>
    </xf>
    <xf numFmtId="4" fontId="67" fillId="24" borderId="107" xfId="2" applyNumberFormat="1" applyFont="1" applyFill="1" applyBorder="1" applyAlignment="1">
      <alignment horizontal="right" vertical="top" wrapText="1"/>
    </xf>
    <xf numFmtId="4" fontId="67" fillId="24" borderId="46" xfId="2" applyNumberFormat="1" applyFont="1" applyFill="1" applyBorder="1" applyAlignment="1">
      <alignment horizontal="right" vertical="top" wrapText="1"/>
    </xf>
    <xf numFmtId="4" fontId="67" fillId="24" borderId="45" xfId="2" applyNumberFormat="1" applyFont="1" applyFill="1" applyBorder="1" applyAlignment="1">
      <alignment horizontal="right" vertical="top" wrapText="1"/>
    </xf>
    <xf numFmtId="4" fontId="66" fillId="24" borderId="26" xfId="1" applyNumberFormat="1" applyFont="1" applyFill="1" applyBorder="1" applyAlignment="1">
      <alignment horizontal="right" vertical="top" wrapText="1"/>
    </xf>
    <xf numFmtId="4" fontId="67" fillId="24" borderId="44" xfId="2" applyNumberFormat="1" applyFont="1" applyFill="1" applyBorder="1" applyAlignment="1">
      <alignment horizontal="right" vertical="top" wrapText="1"/>
    </xf>
    <xf numFmtId="4" fontId="67" fillId="24" borderId="108" xfId="2" applyNumberFormat="1" applyFont="1" applyFill="1" applyBorder="1" applyAlignment="1">
      <alignment horizontal="right" vertical="top" wrapText="1"/>
    </xf>
    <xf numFmtId="4" fontId="67" fillId="24" borderId="43" xfId="2" applyNumberFormat="1" applyFont="1" applyFill="1" applyBorder="1" applyAlignment="1">
      <alignment horizontal="right" vertical="top" wrapText="1"/>
    </xf>
    <xf numFmtId="0" fontId="67" fillId="24" borderId="70" xfId="0" applyFont="1" applyFill="1" applyBorder="1" applyAlignment="1">
      <alignment horizontal="left" vertical="top" wrapText="1"/>
    </xf>
    <xf numFmtId="165" fontId="67" fillId="24" borderId="110" xfId="5" applyNumberFormat="1" applyFont="1" applyFill="1" applyBorder="1" applyAlignment="1">
      <alignment horizontal="right" vertical="top" wrapText="1"/>
    </xf>
    <xf numFmtId="165" fontId="67" fillId="24" borderId="111" xfId="5" applyNumberFormat="1" applyFont="1" applyFill="1" applyBorder="1" applyAlignment="1">
      <alignment horizontal="right" vertical="top" wrapText="1"/>
    </xf>
    <xf numFmtId="165" fontId="67" fillId="24" borderId="112" xfId="5" applyNumberFormat="1" applyFont="1" applyFill="1" applyBorder="1" applyAlignment="1">
      <alignment horizontal="right" vertical="top" wrapText="1"/>
    </xf>
    <xf numFmtId="165" fontId="67" fillId="24" borderId="47" xfId="5" applyNumberFormat="1" applyFont="1" applyFill="1" applyBorder="1" applyAlignment="1">
      <alignment horizontal="right" vertical="top" wrapText="1"/>
    </xf>
    <xf numFmtId="165" fontId="67" fillId="24" borderId="48" xfId="5" applyNumberFormat="1" applyFont="1" applyFill="1" applyBorder="1" applyAlignment="1">
      <alignment horizontal="right" vertical="top" wrapText="1"/>
    </xf>
    <xf numFmtId="165" fontId="67" fillId="24" borderId="49" xfId="5" applyNumberFormat="1" applyFont="1" applyFill="1" applyBorder="1" applyAlignment="1">
      <alignment horizontal="right" vertical="top" wrapText="1"/>
    </xf>
    <xf numFmtId="0" fontId="41" fillId="14" borderId="26" xfId="0" applyFont="1" applyFill="1" applyBorder="1"/>
    <xf numFmtId="0" fontId="36" fillId="12" borderId="8" xfId="0" applyFont="1" applyFill="1" applyBorder="1" applyAlignment="1">
      <alignment horizontal="center" vertical="center" wrapText="1"/>
    </xf>
    <xf numFmtId="0" fontId="68" fillId="13" borderId="5" xfId="0" applyFont="1" applyFill="1" applyBorder="1" applyAlignment="1">
      <alignment horizontal="center" vertical="center"/>
    </xf>
    <xf numFmtId="0" fontId="43" fillId="17" borderId="170" xfId="0" applyFont="1" applyFill="1" applyBorder="1" applyAlignment="1">
      <alignment horizontal="center" vertical="center"/>
    </xf>
    <xf numFmtId="0" fontId="43" fillId="17" borderId="171" xfId="0" applyFont="1" applyFill="1" applyBorder="1" applyAlignment="1">
      <alignment horizontal="center" vertical="center"/>
    </xf>
    <xf numFmtId="0" fontId="43" fillId="17" borderId="172" xfId="0" applyFont="1" applyFill="1" applyBorder="1" applyAlignment="1">
      <alignment horizontal="center" vertical="center"/>
    </xf>
    <xf numFmtId="0" fontId="43" fillId="17" borderId="173" xfId="0" applyFont="1" applyFill="1" applyBorder="1" applyAlignment="1">
      <alignment horizontal="center" vertical="center"/>
    </xf>
    <xf numFmtId="0" fontId="43" fillId="17" borderId="174" xfId="0" applyFont="1" applyFill="1" applyBorder="1" applyAlignment="1">
      <alignment horizontal="center" vertical="center"/>
    </xf>
    <xf numFmtId="0" fontId="43" fillId="17" borderId="175" xfId="0" applyFont="1" applyFill="1" applyBorder="1" applyAlignment="1">
      <alignment horizontal="center" vertical="center"/>
    </xf>
    <xf numFmtId="0" fontId="43" fillId="17" borderId="176" xfId="0" applyFont="1" applyFill="1" applyBorder="1" applyAlignment="1">
      <alignment horizontal="center" vertical="center"/>
    </xf>
    <xf numFmtId="0" fontId="43" fillId="17" borderId="177" xfId="0" applyFont="1" applyFill="1" applyBorder="1" applyAlignment="1">
      <alignment horizontal="center" vertical="center"/>
    </xf>
    <xf numFmtId="0" fontId="43" fillId="17" borderId="178" xfId="0" applyFont="1" applyFill="1" applyBorder="1" applyAlignment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/>
    </xf>
    <xf numFmtId="0" fontId="8" fillId="0" borderId="125" xfId="0" applyNumberFormat="1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 wrapText="1"/>
    </xf>
    <xf numFmtId="165" fontId="64" fillId="0" borderId="122" xfId="5" applyNumberFormat="1" applyFont="1" applyFill="1" applyBorder="1" applyProtection="1"/>
    <xf numFmtId="165" fontId="64" fillId="0" borderId="18" xfId="5" applyNumberFormat="1" applyFont="1" applyFill="1" applyBorder="1" applyProtection="1"/>
    <xf numFmtId="165" fontId="58" fillId="22" borderId="22" xfId="5" applyNumberFormat="1" applyFont="1" applyFill="1" applyBorder="1" applyAlignment="1" applyProtection="1">
      <alignment horizontal="center"/>
    </xf>
    <xf numFmtId="165" fontId="64" fillId="21" borderId="86" xfId="5" applyNumberFormat="1" applyFont="1" applyFill="1" applyBorder="1" applyAlignment="1" applyProtection="1">
      <alignment horizontal="center"/>
    </xf>
    <xf numFmtId="165" fontId="63" fillId="19" borderId="22" xfId="5" applyNumberFormat="1" applyFont="1" applyFill="1" applyBorder="1" applyAlignment="1" applyProtection="1">
      <alignment horizontal="center"/>
    </xf>
    <xf numFmtId="165" fontId="64" fillId="22" borderId="22" xfId="5" applyNumberFormat="1" applyFont="1" applyFill="1" applyBorder="1" applyProtection="1"/>
    <xf numFmtId="165" fontId="64" fillId="22" borderId="125" xfId="5" applyNumberFormat="1" applyFont="1" applyFill="1" applyBorder="1" applyProtection="1"/>
    <xf numFmtId="165" fontId="33" fillId="0" borderId="18" xfId="5" applyNumberFormat="1" applyFont="1" applyFill="1" applyBorder="1" applyProtection="1"/>
    <xf numFmtId="165" fontId="33" fillId="0" borderId="23" xfId="5" applyNumberFormat="1" applyFont="1" applyFill="1" applyBorder="1" applyProtection="1"/>
    <xf numFmtId="0" fontId="36" fillId="12" borderId="0" xfId="0" applyFont="1" applyFill="1" applyBorder="1" applyAlignment="1">
      <alignment vertical="center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3" fontId="70" fillId="5" borderId="41" xfId="3" applyNumberFormat="1" applyFont="1" applyBorder="1" applyAlignment="1">
      <alignment vertical="top" wrapText="1"/>
    </xf>
    <xf numFmtId="3" fontId="70" fillId="5" borderId="144" xfId="3" applyNumberFormat="1" applyFont="1" applyBorder="1" applyAlignment="1">
      <alignment vertical="top" wrapText="1"/>
    </xf>
    <xf numFmtId="3" fontId="70" fillId="5" borderId="145" xfId="3" applyNumberFormat="1" applyFont="1" applyBorder="1" applyAlignment="1">
      <alignment vertical="top" wrapText="1"/>
    </xf>
    <xf numFmtId="3" fontId="70" fillId="5" borderId="84" xfId="3" applyNumberFormat="1" applyFont="1" applyBorder="1" applyAlignment="1">
      <alignment vertical="top" wrapText="1"/>
    </xf>
    <xf numFmtId="3" fontId="70" fillId="5" borderId="100" xfId="3" applyNumberFormat="1" applyFont="1" applyBorder="1" applyAlignment="1">
      <alignment vertical="top" wrapText="1"/>
    </xf>
    <xf numFmtId="3" fontId="70" fillId="5" borderId="85" xfId="3" applyNumberFormat="1" applyFont="1" applyBorder="1" applyAlignment="1">
      <alignment vertical="top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5" borderId="53" xfId="3" applyFont="1" applyBorder="1" applyAlignment="1">
      <alignment horizontal="center" vertical="center" wrapText="1"/>
    </xf>
    <xf numFmtId="0" fontId="22" fillId="5" borderId="56" xfId="3" applyFont="1" applyBorder="1" applyAlignment="1">
      <alignment horizontal="center" vertical="center" wrapText="1"/>
    </xf>
    <xf numFmtId="0" fontId="24" fillId="3" borderId="67" xfId="1" applyFont="1" applyBorder="1" applyAlignment="1">
      <alignment horizontal="center" vertical="center" wrapText="1"/>
    </xf>
    <xf numFmtId="0" fontId="24" fillId="3" borderId="68" xfId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17" fillId="8" borderId="62" xfId="0" applyFont="1" applyFill="1" applyBorder="1" applyAlignment="1">
      <alignment horizontal="right" vertical="center" wrapText="1"/>
    </xf>
    <xf numFmtId="0" fontId="17" fillId="8" borderId="34" xfId="0" applyFont="1" applyFill="1" applyBorder="1" applyAlignment="1">
      <alignment horizontal="right" vertical="center" wrapText="1"/>
    </xf>
    <xf numFmtId="0" fontId="19" fillId="17" borderId="22" xfId="0" applyFont="1" applyFill="1" applyBorder="1" applyAlignment="1">
      <alignment horizontal="left" vertical="center" wrapText="1"/>
    </xf>
    <xf numFmtId="0" fontId="19" fillId="17" borderId="38" xfId="0" applyFont="1" applyFill="1" applyBorder="1" applyAlignment="1">
      <alignment horizontal="left" vertical="center" wrapText="1"/>
    </xf>
    <xf numFmtId="0" fontId="17" fillId="8" borderId="63" xfId="0" applyFont="1" applyFill="1" applyBorder="1" applyAlignment="1">
      <alignment horizontal="right" vertical="center" wrapText="1"/>
    </xf>
    <xf numFmtId="0" fontId="17" fillId="8" borderId="64" xfId="0" applyFont="1" applyFill="1" applyBorder="1" applyAlignment="1">
      <alignment horizontal="right" vertical="center" wrapText="1"/>
    </xf>
    <xf numFmtId="49" fontId="19" fillId="17" borderId="65" xfId="0" applyNumberFormat="1" applyFont="1" applyFill="1" applyBorder="1" applyAlignment="1">
      <alignment horizontal="left" vertical="center" wrapText="1"/>
    </xf>
    <xf numFmtId="49" fontId="19" fillId="17" borderId="65" xfId="0" applyNumberFormat="1" applyFont="1" applyFill="1" applyBorder="1" applyAlignment="1">
      <alignment horizontal="left" vertical="center"/>
    </xf>
    <xf numFmtId="49" fontId="19" fillId="17" borderId="66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3" fillId="4" borderId="52" xfId="2" applyFont="1" applyBorder="1" applyAlignment="1">
      <alignment horizontal="center" vertical="center" wrapText="1"/>
    </xf>
    <xf numFmtId="0" fontId="23" fillId="4" borderId="44" xfId="2" applyFont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38" xfId="0" applyFont="1" applyFill="1" applyBorder="1" applyAlignment="1">
      <alignment horizontal="center" vertical="center" wrapText="1"/>
    </xf>
    <xf numFmtId="0" fontId="61" fillId="17" borderId="22" xfId="6" applyFill="1" applyBorder="1" applyAlignment="1">
      <alignment horizontal="center" vertical="center" wrapText="1"/>
    </xf>
    <xf numFmtId="49" fontId="17" fillId="17" borderId="22" xfId="0" applyNumberFormat="1" applyFont="1" applyFill="1" applyBorder="1" applyAlignment="1">
      <alignment horizontal="center" vertical="center" wrapText="1"/>
    </xf>
    <xf numFmtId="49" fontId="17" fillId="17" borderId="38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8" borderId="58" xfId="0" applyFont="1" applyFill="1" applyBorder="1" applyAlignment="1">
      <alignment horizontal="right" vertical="center" wrapText="1"/>
    </xf>
    <xf numFmtId="0" fontId="17" fillId="8" borderId="59" xfId="0" applyFont="1" applyFill="1" applyBorder="1" applyAlignment="1">
      <alignment horizontal="right" vertical="center" wrapText="1"/>
    </xf>
    <xf numFmtId="0" fontId="18" fillId="17" borderId="60" xfId="0" applyFont="1" applyFill="1" applyBorder="1" applyAlignment="1">
      <alignment horizontal="center" vertical="center" wrapText="1"/>
    </xf>
    <xf numFmtId="0" fontId="18" fillId="17" borderId="61" xfId="0" applyFont="1" applyFill="1" applyBorder="1" applyAlignment="1">
      <alignment horizontal="center" vertical="center" wrapText="1"/>
    </xf>
    <xf numFmtId="0" fontId="34" fillId="19" borderId="21" xfId="0" applyFont="1" applyFill="1" applyBorder="1" applyAlignment="1" applyProtection="1">
      <alignment horizontal="center" vertical="center"/>
    </xf>
    <xf numFmtId="0" fontId="8" fillId="0" borderId="125" xfId="0" applyFont="1" applyBorder="1" applyAlignment="1" applyProtection="1">
      <alignment horizontal="center"/>
    </xf>
    <xf numFmtId="0" fontId="8" fillId="0" borderId="34" xfId="0" applyFont="1" applyBorder="1" applyAlignment="1" applyProtection="1">
      <alignment horizontal="center"/>
    </xf>
    <xf numFmtId="0" fontId="8" fillId="0" borderId="113" xfId="0" applyFont="1" applyBorder="1" applyAlignment="1" applyProtection="1">
      <alignment horizontal="center"/>
    </xf>
    <xf numFmtId="0" fontId="0" fillId="6" borderId="25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8" fillId="19" borderId="125" xfId="0" applyFont="1" applyFill="1" applyBorder="1" applyAlignment="1">
      <alignment horizontal="left" wrapText="1"/>
    </xf>
    <xf numFmtId="0" fontId="8" fillId="19" borderId="34" xfId="0" applyFont="1" applyFill="1" applyBorder="1" applyAlignment="1">
      <alignment horizontal="left" wrapText="1"/>
    </xf>
    <xf numFmtId="0" fontId="8" fillId="19" borderId="113" xfId="0" applyFont="1" applyFill="1" applyBorder="1" applyAlignment="1">
      <alignment horizontal="left" wrapText="1"/>
    </xf>
    <xf numFmtId="0" fontId="8" fillId="19" borderId="86" xfId="0" applyFont="1" applyFill="1" applyBorder="1" applyAlignment="1">
      <alignment horizontal="center" vertical="top" wrapText="1"/>
    </xf>
    <xf numFmtId="0" fontId="8" fillId="19" borderId="126" xfId="0" applyFont="1" applyFill="1" applyBorder="1" applyAlignment="1">
      <alignment horizontal="center" vertical="top" wrapText="1"/>
    </xf>
    <xf numFmtId="0" fontId="8" fillId="19" borderId="114" xfId="0" applyFont="1" applyFill="1" applyBorder="1" applyAlignment="1">
      <alignment horizontal="center" vertical="top" wrapText="1"/>
    </xf>
    <xf numFmtId="0" fontId="8" fillId="10" borderId="125" xfId="0" applyFont="1" applyFill="1" applyBorder="1" applyAlignment="1">
      <alignment horizontal="center" wrapText="1"/>
    </xf>
    <xf numFmtId="0" fontId="8" fillId="10" borderId="113" xfId="0" applyFont="1" applyFill="1" applyBorder="1" applyAlignment="1">
      <alignment horizontal="center" wrapText="1"/>
    </xf>
    <xf numFmtId="0" fontId="8" fillId="10" borderId="125" xfId="0" applyFont="1" applyFill="1" applyBorder="1" applyAlignment="1">
      <alignment horizontal="center" vertical="center" wrapText="1"/>
    </xf>
    <xf numFmtId="0" fontId="8" fillId="10" borderId="11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6" borderId="63" xfId="0" applyFont="1" applyFill="1" applyBorder="1" applyAlignment="1">
      <alignment horizontal="center" vertical="top" wrapText="1"/>
    </xf>
    <xf numFmtId="0" fontId="9" fillId="6" borderId="179" xfId="0" applyFont="1" applyFill="1" applyBorder="1" applyAlignment="1">
      <alignment horizontal="center" vertical="top" wrapText="1"/>
    </xf>
    <xf numFmtId="0" fontId="9" fillId="6" borderId="180" xfId="0" applyFont="1" applyFill="1" applyBorder="1" applyAlignment="1">
      <alignment horizontal="center" vertical="top" wrapText="1"/>
    </xf>
    <xf numFmtId="0" fontId="8" fillId="0" borderId="14" xfId="0" applyFont="1" applyBorder="1" applyAlignment="1" applyProtection="1">
      <alignment horizontal="left" vertical="top" wrapText="1"/>
    </xf>
    <xf numFmtId="0" fontId="8" fillId="0" borderId="24" xfId="0" applyFont="1" applyBorder="1" applyAlignment="1" applyProtection="1">
      <alignment horizontal="left" vertical="top" wrapText="1"/>
    </xf>
    <xf numFmtId="0" fontId="8" fillId="0" borderId="15" xfId="0" applyFont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0" fillId="17" borderId="19" xfId="0" applyFill="1" applyBorder="1" applyAlignment="1" applyProtection="1">
      <alignment horizontal="center" vertical="top" wrapText="1"/>
    </xf>
    <xf numFmtId="0" fontId="0" fillId="17" borderId="0" xfId="0" applyFill="1" applyBorder="1" applyAlignment="1" applyProtection="1">
      <alignment horizontal="center" vertical="top" wrapText="1"/>
    </xf>
    <xf numFmtId="0" fontId="0" fillId="17" borderId="20" xfId="0" applyFill="1" applyBorder="1" applyAlignment="1" applyProtection="1">
      <alignment horizontal="center" vertical="top" wrapText="1"/>
    </xf>
    <xf numFmtId="0" fontId="0" fillId="18" borderId="14" xfId="0" applyFill="1" applyBorder="1" applyAlignment="1" applyProtection="1">
      <alignment horizontal="center" vertical="top" wrapText="1"/>
    </xf>
    <xf numFmtId="0" fontId="0" fillId="18" borderId="23" xfId="0" applyFill="1" applyBorder="1" applyAlignment="1" applyProtection="1">
      <alignment horizontal="center" vertical="top" wrapText="1"/>
    </xf>
    <xf numFmtId="0" fontId="0" fillId="18" borderId="13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20" xfId="0" applyFill="1" applyBorder="1" applyAlignment="1" applyProtection="1">
      <alignment horizontal="center" vertical="top" wrapText="1"/>
    </xf>
    <xf numFmtId="0" fontId="0" fillId="18" borderId="19" xfId="0" applyFill="1" applyBorder="1" applyAlignment="1" applyProtection="1">
      <alignment horizontal="center" vertical="top" wrapText="1"/>
    </xf>
    <xf numFmtId="0" fontId="0" fillId="17" borderId="24" xfId="0" applyFill="1" applyBorder="1" applyAlignment="1" applyProtection="1">
      <alignment horizontal="center" vertical="top" wrapText="1"/>
    </xf>
    <xf numFmtId="0" fontId="0" fillId="17" borderId="6" xfId="0" applyFill="1" applyBorder="1" applyAlignment="1" applyProtection="1">
      <alignment horizontal="center" vertical="top" wrapText="1"/>
    </xf>
    <xf numFmtId="0" fontId="8" fillId="7" borderId="24" xfId="0" applyFont="1" applyFill="1" applyBorder="1" applyAlignment="1" applyProtection="1">
      <alignment horizontal="left" vertical="top" wrapText="1"/>
    </xf>
    <xf numFmtId="0" fontId="8" fillId="7" borderId="15" xfId="0" applyFont="1" applyFill="1" applyBorder="1" applyAlignment="1" applyProtection="1">
      <alignment horizontal="left" vertical="top" wrapText="1"/>
    </xf>
    <xf numFmtId="0" fontId="0" fillId="7" borderId="0" xfId="0" applyFill="1" applyBorder="1" applyAlignment="1" applyProtection="1">
      <alignment horizontal="left" vertical="top" wrapText="1"/>
    </xf>
    <xf numFmtId="0" fontId="0" fillId="7" borderId="26" xfId="0" applyFill="1" applyBorder="1" applyAlignment="1" applyProtection="1">
      <alignment horizontal="left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31" fillId="0" borderId="0" xfId="0" applyFont="1" applyBorder="1" applyAlignment="1">
      <alignment horizontal="center"/>
    </xf>
    <xf numFmtId="0" fontId="34" fillId="0" borderId="0" xfId="0" applyFont="1" applyAlignment="1">
      <alignment horizontal="left" vertical="top" wrapText="1"/>
    </xf>
    <xf numFmtId="0" fontId="28" fillId="0" borderId="26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7" fillId="11" borderId="28" xfId="0" applyFont="1" applyFill="1" applyBorder="1" applyAlignment="1">
      <alignment horizontal="left"/>
    </xf>
    <xf numFmtId="0" fontId="27" fillId="11" borderId="29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11" borderId="0" xfId="0" applyFont="1" applyFill="1" applyAlignment="1">
      <alignment horizontal="left"/>
    </xf>
    <xf numFmtId="0" fontId="27" fillId="10" borderId="28" xfId="0" applyFont="1" applyFill="1" applyBorder="1" applyAlignment="1">
      <alignment horizontal="left"/>
    </xf>
    <xf numFmtId="0" fontId="27" fillId="10" borderId="29" xfId="0" applyFont="1" applyFill="1" applyBorder="1" applyAlignment="1">
      <alignment horizontal="left"/>
    </xf>
    <xf numFmtId="0" fontId="27" fillId="10" borderId="0" xfId="0" applyFont="1" applyFill="1" applyAlignment="1">
      <alignment horizontal="left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 wrapText="1"/>
    </xf>
    <xf numFmtId="0" fontId="36" fillId="12" borderId="8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horizontal="center" vertical="center" wrapText="1"/>
    </xf>
    <xf numFmtId="0" fontId="36" fillId="12" borderId="9" xfId="0" applyFont="1" applyFill="1" applyBorder="1" applyAlignment="1">
      <alignment horizontal="center" vertical="center" wrapText="1"/>
    </xf>
    <xf numFmtId="0" fontId="60" fillId="12" borderId="8" xfId="0" applyFont="1" applyFill="1" applyBorder="1" applyAlignment="1">
      <alignment horizontal="center" vertical="center" wrapText="1"/>
    </xf>
    <xf numFmtId="0" fontId="60" fillId="12" borderId="9" xfId="0" applyFont="1" applyFill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top"/>
    </xf>
    <xf numFmtId="0" fontId="1" fillId="26" borderId="80" xfId="0" applyFont="1" applyFill="1" applyBorder="1" applyAlignment="1">
      <alignment horizontal="center" vertical="top"/>
    </xf>
    <xf numFmtId="0" fontId="5" fillId="26" borderId="8" xfId="0" applyFont="1" applyFill="1" applyBorder="1" applyAlignment="1">
      <alignment horizontal="left" vertical="top" wrapText="1"/>
    </xf>
    <xf numFmtId="0" fontId="5" fillId="26" borderId="80" xfId="0" applyFont="1" applyFill="1" applyBorder="1" applyAlignment="1">
      <alignment horizontal="left" vertical="top" wrapText="1"/>
    </xf>
    <xf numFmtId="0" fontId="1" fillId="26" borderId="8" xfId="0" applyFont="1" applyFill="1" applyBorder="1" applyAlignment="1">
      <alignment vertical="top" wrapText="1"/>
    </xf>
    <xf numFmtId="0" fontId="1" fillId="26" borderId="80" xfId="0" applyFont="1" applyFill="1" applyBorder="1" applyAlignment="1">
      <alignment vertical="top" wrapText="1"/>
    </xf>
    <xf numFmtId="2" fontId="3" fillId="5" borderId="91" xfId="3" applyNumberFormat="1" applyFont="1" applyBorder="1" applyAlignment="1">
      <alignment horizontal="right" vertical="top" wrapText="1"/>
    </xf>
    <xf numFmtId="2" fontId="3" fillId="5" borderId="92" xfId="3" applyNumberFormat="1" applyFont="1" applyBorder="1" applyAlignment="1">
      <alignment horizontal="right" vertical="top" wrapText="1"/>
    </xf>
    <xf numFmtId="0" fontId="5" fillId="26" borderId="7" xfId="0" applyFont="1" applyFill="1" applyBorder="1" applyAlignment="1">
      <alignment horizontal="left" vertical="top" wrapText="1"/>
    </xf>
    <xf numFmtId="0" fontId="5" fillId="26" borderId="4" xfId="0" applyFont="1" applyFill="1" applyBorder="1" applyAlignment="1">
      <alignment horizontal="left" vertical="top" wrapText="1"/>
    </xf>
    <xf numFmtId="166" fontId="51" fillId="3" borderId="8" xfId="4" applyNumberFormat="1" applyFont="1" applyFill="1" applyBorder="1" applyAlignment="1">
      <alignment horizontal="right" vertical="top" wrapText="1"/>
    </xf>
    <xf numFmtId="166" fontId="51" fillId="3" borderId="9" xfId="4" applyNumberFormat="1" applyFont="1" applyFill="1" applyBorder="1" applyAlignment="1">
      <alignment horizontal="right" vertical="top" wrapText="1"/>
    </xf>
    <xf numFmtId="166" fontId="51" fillId="3" borderId="8" xfId="4" applyNumberFormat="1" applyFont="1" applyFill="1" applyBorder="1" applyAlignment="1">
      <alignment vertical="top" wrapText="1"/>
    </xf>
    <xf numFmtId="166" fontId="51" fillId="3" borderId="9" xfId="4" applyNumberFormat="1" applyFont="1" applyFill="1" applyBorder="1" applyAlignment="1">
      <alignment vertical="top" wrapText="1"/>
    </xf>
    <xf numFmtId="0" fontId="5" fillId="26" borderId="14" xfId="0" applyFont="1" applyFill="1" applyBorder="1" applyAlignment="1">
      <alignment horizontal="left" vertical="top" wrapText="1"/>
    </xf>
    <xf numFmtId="0" fontId="5" fillId="26" borderId="15" xfId="0" applyFont="1" applyFill="1" applyBorder="1" applyAlignment="1">
      <alignment horizontal="left" vertical="top" wrapText="1"/>
    </xf>
    <xf numFmtId="2" fontId="51" fillId="3" borderId="8" xfId="4" applyNumberFormat="1" applyFont="1" applyFill="1" applyBorder="1" applyAlignment="1">
      <alignment vertical="top" wrapText="1"/>
    </xf>
    <xf numFmtId="2" fontId="51" fillId="3" borderId="9" xfId="4" applyNumberFormat="1" applyFont="1" applyFill="1" applyBorder="1" applyAlignment="1">
      <alignment vertical="top" wrapText="1"/>
    </xf>
    <xf numFmtId="0" fontId="1" fillId="26" borderId="9" xfId="0" applyFont="1" applyFill="1" applyBorder="1" applyAlignment="1">
      <alignment vertical="top" wrapText="1"/>
    </xf>
    <xf numFmtId="0" fontId="5" fillId="26" borderId="11" xfId="0" applyFont="1" applyFill="1" applyBorder="1" applyAlignment="1">
      <alignment horizontal="left" vertical="top" wrapText="1"/>
    </xf>
    <xf numFmtId="0" fontId="5" fillId="26" borderId="12" xfId="0" applyFont="1" applyFill="1" applyBorder="1" applyAlignment="1">
      <alignment horizontal="left" vertical="top" wrapText="1"/>
    </xf>
    <xf numFmtId="0" fontId="5" fillId="26" borderId="8" xfId="0" applyFont="1" applyFill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5" fillId="22" borderId="14" xfId="0" applyFont="1" applyFill="1" applyBorder="1" applyAlignment="1">
      <alignment horizontal="center"/>
    </xf>
    <xf numFmtId="0" fontId="65" fillId="22" borderId="23" xfId="0" applyFont="1" applyFill="1" applyBorder="1" applyAlignment="1">
      <alignment horizontal="center"/>
    </xf>
  </cellXfs>
  <cellStyles count="8">
    <cellStyle name="Čiarka" xfId="5" builtinId="3"/>
    <cellStyle name="Dobrá" xfId="1" builtinId="26"/>
    <cellStyle name="Hypertextové prepojenie" xfId="6" builtinId="8"/>
    <cellStyle name="Mena" xfId="7" builtinId="4"/>
    <cellStyle name="Normálna" xfId="0" builtinId="0"/>
    <cellStyle name="Percentá" xfId="4" builtinId="5"/>
    <cellStyle name="Poznámka" xfId="3" builtinId="10"/>
    <cellStyle name="Výpočet" xfId="2" builtinId="22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11</xdr:col>
      <xdr:colOff>552450</xdr:colOff>
      <xdr:row>35</xdr:row>
      <xdr:rowOff>140105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258050" cy="6217055"/>
        </a:xfrm>
        <a:prstGeom prst="rect">
          <a:avLst/>
        </a:prstGeom>
      </xdr:spPr>
    </xdr:pic>
    <xdr:clientData/>
  </xdr:twoCellAnchor>
  <xdr:twoCellAnchor editAs="oneCell">
    <xdr:from>
      <xdr:col>18</xdr:col>
      <xdr:colOff>600074</xdr:colOff>
      <xdr:row>3</xdr:row>
      <xdr:rowOff>0</xdr:rowOff>
    </xdr:from>
    <xdr:to>
      <xdr:col>44</xdr:col>
      <xdr:colOff>508192</xdr:colOff>
      <xdr:row>35</xdr:row>
      <xdr:rowOff>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874" y="571500"/>
          <a:ext cx="15757718" cy="60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ezno.sk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R46"/>
  <sheetViews>
    <sheetView view="pageBreakPreview" topLeftCell="A12" zoomScaleNormal="100" zoomScaleSheetLayoutView="100" workbookViewId="0">
      <selection activeCell="A30" sqref="A30:I30"/>
    </sheetView>
  </sheetViews>
  <sheetFormatPr defaultColWidth="8.85546875" defaultRowHeight="15" x14ac:dyDescent="0.25"/>
  <cols>
    <col min="2" max="2" width="11.7109375" customWidth="1"/>
    <col min="4" max="4" width="6.42578125" customWidth="1"/>
    <col min="6" max="6" width="7.7109375" customWidth="1"/>
    <col min="7" max="7" width="12.28515625" customWidth="1"/>
    <col min="8" max="8" width="6" customWidth="1"/>
    <col min="9" max="9" width="14.28515625" customWidth="1"/>
  </cols>
  <sheetData>
    <row r="1" spans="1:18" x14ac:dyDescent="0.25">
      <c r="A1" s="36"/>
      <c r="B1" s="36"/>
      <c r="C1" s="36"/>
      <c r="D1" s="36"/>
      <c r="E1" s="36"/>
      <c r="F1" s="36"/>
      <c r="G1" s="36"/>
      <c r="H1" s="36"/>
      <c r="I1" s="36"/>
      <c r="J1" s="364"/>
      <c r="K1" s="365"/>
      <c r="L1" s="365"/>
      <c r="M1" s="365"/>
      <c r="N1" s="365"/>
      <c r="O1" s="365"/>
      <c r="P1" s="365"/>
      <c r="Q1" s="365"/>
      <c r="R1" s="365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65"/>
      <c r="K2" s="365"/>
      <c r="L2" s="365"/>
      <c r="M2" s="365"/>
      <c r="N2" s="365"/>
      <c r="O2" s="365"/>
      <c r="P2" s="365"/>
      <c r="Q2" s="365"/>
      <c r="R2" s="365"/>
    </row>
    <row r="3" spans="1:18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5"/>
      <c r="K3" s="365"/>
      <c r="L3" s="365"/>
      <c r="M3" s="365"/>
      <c r="N3" s="365"/>
      <c r="O3" s="365"/>
      <c r="P3" s="365"/>
      <c r="Q3" s="365"/>
      <c r="R3" s="365"/>
    </row>
    <row r="4" spans="1:18" ht="1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5"/>
      <c r="K4" s="365"/>
      <c r="L4" s="365"/>
      <c r="M4" s="365"/>
      <c r="N4" s="365"/>
      <c r="O4" s="365"/>
      <c r="P4" s="365"/>
      <c r="Q4" s="365"/>
      <c r="R4" s="365"/>
    </row>
    <row r="5" spans="1:18" x14ac:dyDescent="0.25">
      <c r="A5" s="36"/>
      <c r="B5" s="36"/>
      <c r="C5" s="36"/>
      <c r="D5" s="36"/>
      <c r="E5" s="36"/>
      <c r="F5" s="36"/>
      <c r="G5" s="36"/>
      <c r="H5" s="36"/>
      <c r="I5" s="36"/>
      <c r="J5" s="365"/>
      <c r="K5" s="365"/>
      <c r="L5" s="365"/>
      <c r="M5" s="365"/>
      <c r="N5" s="365"/>
      <c r="O5" s="365"/>
      <c r="P5" s="365"/>
      <c r="Q5" s="365"/>
      <c r="R5" s="365"/>
    </row>
    <row r="6" spans="1:18" ht="62.1" customHeight="1" x14ac:dyDescent="0.5">
      <c r="A6" s="683" t="s">
        <v>113</v>
      </c>
      <c r="B6" s="683"/>
      <c r="C6" s="683"/>
      <c r="D6" s="683"/>
      <c r="E6" s="683"/>
      <c r="F6" s="683"/>
      <c r="G6" s="683"/>
      <c r="H6" s="683"/>
      <c r="I6" s="683"/>
      <c r="J6" s="365"/>
      <c r="K6" s="365"/>
      <c r="L6" s="365"/>
      <c r="M6" s="365"/>
      <c r="N6" s="365"/>
      <c r="O6" s="365"/>
      <c r="P6" s="365"/>
      <c r="Q6" s="365"/>
      <c r="R6" s="365"/>
    </row>
    <row r="7" spans="1:18" ht="18.75" customHeight="1" x14ac:dyDescent="0.3">
      <c r="A7" s="660" t="s">
        <v>65</v>
      </c>
      <c r="B7" s="660"/>
      <c r="C7" s="660"/>
      <c r="D7" s="660"/>
      <c r="E7" s="660"/>
      <c r="F7" s="660"/>
      <c r="G7" s="660"/>
      <c r="H7" s="660"/>
      <c r="I7" s="660"/>
      <c r="J7" s="365"/>
      <c r="K7" s="365"/>
      <c r="L7" s="365"/>
      <c r="M7" s="365"/>
      <c r="N7" s="365"/>
      <c r="O7" s="365"/>
      <c r="P7" s="365"/>
      <c r="Q7" s="365"/>
      <c r="R7" s="365"/>
    </row>
    <row r="8" spans="1:18" x14ac:dyDescent="0.25">
      <c r="A8" s="684" t="s">
        <v>60</v>
      </c>
      <c r="B8" s="684"/>
      <c r="C8" s="684"/>
      <c r="D8" s="684"/>
      <c r="E8" s="684"/>
      <c r="F8" s="684"/>
      <c r="G8" s="684"/>
      <c r="H8" s="684"/>
      <c r="I8" s="684"/>
      <c r="J8" s="365"/>
      <c r="K8" s="365"/>
      <c r="L8" s="365"/>
      <c r="M8" s="365"/>
      <c r="N8" s="365"/>
      <c r="O8" s="365"/>
      <c r="P8" s="365"/>
      <c r="Q8" s="365"/>
      <c r="R8" s="365"/>
    </row>
    <row r="9" spans="1:18" ht="15" customHeight="1" x14ac:dyDescent="0.25">
      <c r="A9" s="684"/>
      <c r="B9" s="684"/>
      <c r="C9" s="684"/>
      <c r="D9" s="684"/>
      <c r="E9" s="684"/>
      <c r="F9" s="684"/>
      <c r="G9" s="684"/>
      <c r="H9" s="684"/>
      <c r="I9" s="684"/>
      <c r="J9" s="365"/>
      <c r="K9" s="365"/>
      <c r="L9" s="365"/>
      <c r="M9" s="365"/>
      <c r="N9" s="365"/>
      <c r="O9" s="365"/>
      <c r="P9" s="365"/>
      <c r="Q9" s="365"/>
      <c r="R9" s="365"/>
    </row>
    <row r="10" spans="1:18" ht="48.6" customHeight="1" x14ac:dyDescent="0.25">
      <c r="A10" s="684"/>
      <c r="B10" s="684"/>
      <c r="C10" s="684"/>
      <c r="D10" s="684"/>
      <c r="E10" s="684"/>
      <c r="F10" s="684"/>
      <c r="G10" s="684"/>
      <c r="H10" s="684"/>
      <c r="I10" s="684"/>
      <c r="J10" s="365"/>
      <c r="K10" s="365"/>
      <c r="L10" s="365"/>
      <c r="M10" s="365"/>
      <c r="N10" s="365"/>
      <c r="O10" s="365"/>
      <c r="P10" s="365"/>
      <c r="Q10" s="365"/>
      <c r="R10" s="365"/>
    </row>
    <row r="11" spans="1:18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5"/>
      <c r="K11" s="365"/>
      <c r="L11" s="365"/>
      <c r="M11" s="365"/>
      <c r="N11" s="365"/>
      <c r="O11" s="365"/>
      <c r="P11" s="365"/>
      <c r="Q11" s="365"/>
      <c r="R11" s="365"/>
    </row>
    <row r="12" spans="1:18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5"/>
      <c r="K12" s="365"/>
      <c r="L12" s="365"/>
      <c r="M12" s="365"/>
      <c r="N12" s="365"/>
      <c r="O12" s="365"/>
      <c r="P12" s="365"/>
      <c r="Q12" s="365"/>
      <c r="R12" s="365"/>
    </row>
    <row r="13" spans="1:18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5"/>
      <c r="K13" s="365"/>
      <c r="L13" s="365"/>
      <c r="M13" s="365"/>
      <c r="N13" s="365"/>
      <c r="O13" s="365"/>
      <c r="P13" s="365"/>
      <c r="Q13" s="365"/>
      <c r="R13" s="365"/>
    </row>
    <row r="14" spans="1:18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5"/>
      <c r="K14" s="365"/>
      <c r="L14" s="365"/>
      <c r="M14" s="365"/>
      <c r="N14" s="365"/>
      <c r="O14" s="365"/>
      <c r="P14" s="365"/>
      <c r="Q14" s="365"/>
      <c r="R14" s="365"/>
    </row>
    <row r="15" spans="1:18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5"/>
      <c r="K15" s="365"/>
      <c r="L15" s="365"/>
      <c r="M15" s="365"/>
      <c r="N15" s="365"/>
      <c r="O15" s="365"/>
      <c r="P15" s="365"/>
      <c r="Q15" s="365"/>
      <c r="R15" s="365"/>
    </row>
    <row r="16" spans="1:18" x14ac:dyDescent="0.25">
      <c r="B16" s="36"/>
      <c r="C16" s="36"/>
      <c r="D16" s="36"/>
      <c r="E16" s="36"/>
      <c r="F16" s="36"/>
      <c r="G16" s="36"/>
      <c r="H16" s="36"/>
      <c r="I16" s="36"/>
      <c r="J16" s="365"/>
      <c r="K16" s="365"/>
      <c r="L16" s="365"/>
      <c r="M16" s="365"/>
      <c r="N16" s="365"/>
      <c r="O16" s="365"/>
      <c r="P16" s="365"/>
      <c r="Q16" s="365"/>
      <c r="R16" s="365"/>
    </row>
    <row r="17" spans="1:18" x14ac:dyDescent="0.25">
      <c r="B17" s="36"/>
      <c r="C17" s="36"/>
      <c r="D17" s="36"/>
      <c r="E17" s="36"/>
      <c r="F17" s="36"/>
      <c r="G17" s="36"/>
      <c r="H17" s="36"/>
      <c r="I17" s="36"/>
      <c r="J17" s="365"/>
      <c r="K17" s="365"/>
      <c r="L17" s="365"/>
      <c r="M17" s="365"/>
      <c r="N17" s="365"/>
      <c r="O17" s="365"/>
      <c r="P17" s="365"/>
      <c r="Q17" s="365"/>
      <c r="R17" s="365"/>
    </row>
    <row r="18" spans="1:18" ht="15.75" thickBot="1" x14ac:dyDescent="0.3">
      <c r="B18" s="36"/>
      <c r="C18" s="36"/>
      <c r="D18" s="36"/>
      <c r="E18" s="36"/>
      <c r="F18" s="36"/>
      <c r="G18" s="36"/>
      <c r="H18" s="36"/>
      <c r="I18" s="36"/>
      <c r="J18" s="365"/>
      <c r="K18" s="365"/>
      <c r="L18" s="365"/>
      <c r="M18" s="365"/>
      <c r="N18" s="365"/>
      <c r="O18" s="365"/>
      <c r="P18" s="365"/>
      <c r="Q18" s="365"/>
      <c r="R18" s="365"/>
    </row>
    <row r="19" spans="1:18" ht="16.5" x14ac:dyDescent="0.25">
      <c r="A19" s="685" t="s">
        <v>114</v>
      </c>
      <c r="B19" s="686"/>
      <c r="C19" s="687" t="s">
        <v>385</v>
      </c>
      <c r="D19" s="687"/>
      <c r="E19" s="687"/>
      <c r="F19" s="687"/>
      <c r="G19" s="687"/>
      <c r="H19" s="687"/>
      <c r="I19" s="688"/>
      <c r="J19" s="365"/>
      <c r="K19" s="365"/>
      <c r="L19" s="365"/>
      <c r="M19" s="365"/>
      <c r="N19" s="365"/>
      <c r="O19" s="365"/>
      <c r="P19" s="365"/>
      <c r="Q19" s="365"/>
      <c r="R19" s="365"/>
    </row>
    <row r="20" spans="1:18" ht="16.5" x14ac:dyDescent="0.25">
      <c r="A20" s="661" t="s">
        <v>118</v>
      </c>
      <c r="B20" s="662"/>
      <c r="C20" s="678"/>
      <c r="D20" s="678"/>
      <c r="E20" s="678"/>
      <c r="F20" s="678"/>
      <c r="G20" s="678"/>
      <c r="H20" s="678"/>
      <c r="I20" s="679"/>
      <c r="J20" s="365"/>
      <c r="K20" s="365"/>
      <c r="L20" s="365"/>
      <c r="M20" s="365"/>
      <c r="N20" s="365"/>
      <c r="O20" s="365"/>
      <c r="P20" s="365"/>
      <c r="Q20" s="365"/>
      <c r="R20" s="365"/>
    </row>
    <row r="21" spans="1:18" ht="16.5" x14ac:dyDescent="0.25">
      <c r="A21" s="661" t="s">
        <v>117</v>
      </c>
      <c r="B21" s="662"/>
      <c r="C21" s="678" t="s">
        <v>384</v>
      </c>
      <c r="D21" s="678"/>
      <c r="E21" s="678"/>
      <c r="F21" s="678"/>
      <c r="G21" s="678"/>
      <c r="H21" s="678"/>
      <c r="I21" s="679"/>
      <c r="J21" s="365"/>
      <c r="K21" s="365"/>
      <c r="L21" s="365"/>
      <c r="M21" s="365"/>
      <c r="N21" s="365"/>
      <c r="O21" s="365"/>
      <c r="P21" s="365"/>
      <c r="Q21" s="365"/>
      <c r="R21" s="365"/>
    </row>
    <row r="22" spans="1:18" ht="14.45" customHeight="1" x14ac:dyDescent="0.25">
      <c r="A22" s="661" t="s">
        <v>51</v>
      </c>
      <c r="B22" s="662"/>
      <c r="C22" s="678" t="s">
        <v>388</v>
      </c>
      <c r="D22" s="678"/>
      <c r="E22" s="678"/>
      <c r="F22" s="678"/>
      <c r="G22" s="678"/>
      <c r="H22" s="678"/>
      <c r="I22" s="679"/>
      <c r="J22" s="365"/>
      <c r="K22" s="365"/>
      <c r="L22" s="365"/>
      <c r="M22" s="365"/>
      <c r="N22" s="365"/>
      <c r="O22" s="365"/>
      <c r="P22" s="365"/>
      <c r="Q22" s="365"/>
      <c r="R22" s="365"/>
    </row>
    <row r="23" spans="1:18" ht="16.5" x14ac:dyDescent="0.25">
      <c r="A23" s="661" t="s">
        <v>52</v>
      </c>
      <c r="B23" s="662"/>
      <c r="C23" s="678" t="s">
        <v>386</v>
      </c>
      <c r="D23" s="678"/>
      <c r="E23" s="678"/>
      <c r="F23" s="678"/>
      <c r="G23" s="678"/>
      <c r="H23" s="678"/>
      <c r="I23" s="679"/>
      <c r="J23" s="365"/>
      <c r="K23" s="365"/>
      <c r="L23" s="365"/>
      <c r="M23" s="365"/>
      <c r="N23" s="365"/>
      <c r="O23" s="365"/>
      <c r="P23" s="365"/>
      <c r="Q23" s="365"/>
      <c r="R23" s="365"/>
    </row>
    <row r="24" spans="1:18" ht="16.5" x14ac:dyDescent="0.25">
      <c r="A24" s="661" t="s">
        <v>53</v>
      </c>
      <c r="B24" s="662"/>
      <c r="C24" s="678">
        <v>97701</v>
      </c>
      <c r="D24" s="678"/>
      <c r="E24" s="678"/>
      <c r="F24" s="678"/>
      <c r="G24" s="678"/>
      <c r="H24" s="678"/>
      <c r="I24" s="679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1:18" ht="16.5" x14ac:dyDescent="0.25">
      <c r="A25" s="661" t="s">
        <v>54</v>
      </c>
      <c r="B25" s="662"/>
      <c r="C25" s="680" t="s">
        <v>387</v>
      </c>
      <c r="D25" s="678"/>
      <c r="E25" s="678"/>
      <c r="F25" s="678"/>
      <c r="G25" s="678"/>
      <c r="H25" s="678"/>
      <c r="I25" s="679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1:18" ht="16.5" x14ac:dyDescent="0.25">
      <c r="A26" s="661" t="s">
        <v>55</v>
      </c>
      <c r="B26" s="662"/>
      <c r="C26" s="681" t="s">
        <v>389</v>
      </c>
      <c r="D26" s="681"/>
      <c r="E26" s="681"/>
      <c r="F26" s="681"/>
      <c r="G26" s="681"/>
      <c r="H26" s="681"/>
      <c r="I26" s="682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1:18" ht="19.350000000000001" customHeight="1" x14ac:dyDescent="0.25">
      <c r="A27" s="661" t="s">
        <v>56</v>
      </c>
      <c r="B27" s="662"/>
      <c r="C27" s="663" t="s">
        <v>390</v>
      </c>
      <c r="D27" s="663"/>
      <c r="E27" s="663"/>
      <c r="F27" s="663"/>
      <c r="G27" s="663"/>
      <c r="H27" s="663"/>
      <c r="I27" s="664"/>
      <c r="J27" s="365"/>
      <c r="K27" s="365"/>
      <c r="L27" s="365"/>
      <c r="M27" s="365"/>
      <c r="N27" s="365"/>
      <c r="O27" s="365"/>
      <c r="P27" s="365"/>
      <c r="Q27" s="365"/>
      <c r="R27" s="365"/>
    </row>
    <row r="28" spans="1:18" ht="33" customHeight="1" thickBot="1" x14ac:dyDescent="0.3">
      <c r="A28" s="665" t="s">
        <v>57</v>
      </c>
      <c r="B28" s="666"/>
      <c r="C28" s="667" t="s">
        <v>391</v>
      </c>
      <c r="D28" s="668"/>
      <c r="E28" s="668"/>
      <c r="F28" s="668"/>
      <c r="G28" s="668"/>
      <c r="H28" s="668"/>
      <c r="I28" s="669"/>
      <c r="J28" s="365"/>
      <c r="K28" s="365"/>
      <c r="L28" s="365"/>
      <c r="M28" s="365"/>
      <c r="N28" s="365"/>
      <c r="O28" s="365"/>
      <c r="P28" s="365"/>
      <c r="Q28" s="365"/>
      <c r="R28" s="365"/>
    </row>
    <row r="29" spans="1:18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5"/>
      <c r="K29" s="365"/>
      <c r="L29" s="365"/>
      <c r="M29" s="365"/>
      <c r="N29" s="365"/>
      <c r="O29" s="365"/>
      <c r="P29" s="365"/>
      <c r="Q29" s="365"/>
      <c r="R29" s="365"/>
    </row>
    <row r="30" spans="1:18" ht="15.75" thickBot="1" x14ac:dyDescent="0.3">
      <c r="A30" s="670" t="s">
        <v>61</v>
      </c>
      <c r="B30" s="670"/>
      <c r="C30" s="670"/>
      <c r="D30" s="670"/>
      <c r="E30" s="670"/>
      <c r="F30" s="670"/>
      <c r="G30" s="670"/>
      <c r="H30" s="670"/>
      <c r="I30" s="670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18" ht="14.45" customHeight="1" x14ac:dyDescent="0.25">
      <c r="A31" s="671" t="s">
        <v>58</v>
      </c>
      <c r="B31" s="672"/>
      <c r="C31" s="654" t="s">
        <v>59</v>
      </c>
      <c r="D31" s="654"/>
      <c r="E31" s="676" t="s">
        <v>62</v>
      </c>
      <c r="F31" s="676"/>
      <c r="G31" s="656" t="s">
        <v>63</v>
      </c>
      <c r="H31" s="656"/>
      <c r="I31" s="658" t="s">
        <v>64</v>
      </c>
      <c r="J31" s="365"/>
      <c r="K31" s="365"/>
      <c r="L31" s="365"/>
      <c r="M31" s="365"/>
      <c r="N31" s="365"/>
      <c r="O31" s="365"/>
      <c r="P31" s="365"/>
      <c r="Q31" s="365"/>
      <c r="R31" s="365"/>
    </row>
    <row r="32" spans="1:18" ht="15.75" thickBot="1" x14ac:dyDescent="0.3">
      <c r="A32" s="673"/>
      <c r="B32" s="674"/>
      <c r="C32" s="675"/>
      <c r="D32" s="675"/>
      <c r="E32" s="677"/>
      <c r="F32" s="677"/>
      <c r="G32" s="657"/>
      <c r="H32" s="657"/>
      <c r="I32" s="659"/>
      <c r="J32" s="365"/>
      <c r="K32" s="365"/>
      <c r="L32" s="365"/>
      <c r="M32" s="365"/>
      <c r="N32" s="365"/>
      <c r="O32" s="365"/>
      <c r="P32" s="365"/>
      <c r="Q32" s="365"/>
      <c r="R32" s="365"/>
    </row>
    <row r="33" spans="1:18" x14ac:dyDescent="0.25">
      <c r="A33" s="654"/>
      <c r="B33" s="654"/>
      <c r="C33" s="654"/>
      <c r="D33" s="654"/>
      <c r="E33" s="654"/>
      <c r="F33" s="654"/>
      <c r="G33" s="654"/>
      <c r="H33" s="654"/>
      <c r="I33" s="654"/>
      <c r="J33" s="365"/>
      <c r="K33" s="365"/>
      <c r="L33" s="365"/>
      <c r="M33" s="365"/>
      <c r="N33" s="365"/>
      <c r="O33" s="365"/>
      <c r="P33" s="365"/>
      <c r="Q33" s="365"/>
      <c r="R33" s="365"/>
    </row>
    <row r="34" spans="1:18" x14ac:dyDescent="0.25">
      <c r="A34" s="655"/>
      <c r="B34" s="655"/>
      <c r="C34" s="655"/>
      <c r="D34" s="655"/>
      <c r="E34" s="655"/>
      <c r="F34" s="655"/>
      <c r="G34" s="655"/>
      <c r="H34" s="655"/>
      <c r="I34" s="655"/>
      <c r="J34" s="365"/>
      <c r="K34" s="365"/>
      <c r="L34" s="365"/>
      <c r="M34" s="365"/>
      <c r="N34" s="365"/>
      <c r="O34" s="365"/>
      <c r="P34" s="365"/>
      <c r="Q34" s="365"/>
      <c r="R34" s="365"/>
    </row>
    <row r="35" spans="1:18" x14ac:dyDescent="0.25">
      <c r="A35" s="655"/>
      <c r="B35" s="655"/>
      <c r="C35" s="655"/>
      <c r="D35" s="655"/>
      <c r="E35" s="655"/>
      <c r="F35" s="655"/>
      <c r="G35" s="655"/>
      <c r="H35" s="655"/>
      <c r="I35" s="655"/>
      <c r="J35" s="365"/>
      <c r="K35" s="365"/>
      <c r="L35" s="365"/>
      <c r="M35" s="365"/>
      <c r="N35" s="365"/>
      <c r="O35" s="365"/>
      <c r="P35" s="365"/>
      <c r="Q35" s="365"/>
      <c r="R35" s="365"/>
    </row>
    <row r="36" spans="1:18" x14ac:dyDescent="0.25">
      <c r="A36" s="84"/>
      <c r="B36" s="84"/>
      <c r="C36" s="36"/>
      <c r="D36" s="36"/>
      <c r="E36" s="36"/>
      <c r="F36" s="36"/>
      <c r="G36" s="36"/>
      <c r="H36" s="36"/>
      <c r="I36" s="36"/>
      <c r="J36" s="365"/>
      <c r="K36" s="365"/>
      <c r="L36" s="365"/>
      <c r="M36" s="365"/>
      <c r="N36" s="365"/>
      <c r="O36" s="365"/>
      <c r="P36" s="365"/>
      <c r="Q36" s="365"/>
      <c r="R36" s="365"/>
    </row>
    <row r="37" spans="1:18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5"/>
      <c r="K37" s="365"/>
      <c r="L37" s="365"/>
      <c r="M37" s="365"/>
      <c r="N37" s="365"/>
      <c r="O37" s="365"/>
      <c r="P37" s="365"/>
      <c r="Q37" s="365"/>
      <c r="R37" s="365"/>
    </row>
    <row r="38" spans="1:18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5"/>
      <c r="K38" s="365"/>
      <c r="L38" s="365"/>
      <c r="M38" s="365"/>
      <c r="N38" s="365"/>
      <c r="O38" s="365"/>
      <c r="P38" s="365"/>
      <c r="Q38" s="365"/>
      <c r="R38" s="365"/>
    </row>
    <row r="39" spans="1:18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5"/>
      <c r="K39" s="365"/>
      <c r="L39" s="365"/>
      <c r="M39" s="365"/>
      <c r="N39" s="365"/>
      <c r="O39" s="365"/>
      <c r="P39" s="365"/>
      <c r="Q39" s="365"/>
      <c r="R39" s="365"/>
    </row>
    <row r="40" spans="1:18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5"/>
      <c r="K40" s="365"/>
      <c r="L40" s="365"/>
      <c r="M40" s="365"/>
      <c r="N40" s="365"/>
      <c r="O40" s="365"/>
      <c r="P40" s="365"/>
      <c r="Q40" s="365"/>
      <c r="R40" s="365"/>
    </row>
    <row r="41" spans="1:18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5"/>
      <c r="K41" s="365"/>
      <c r="L41" s="365"/>
      <c r="M41" s="365"/>
      <c r="N41" s="365"/>
      <c r="O41" s="365"/>
      <c r="P41" s="365"/>
      <c r="Q41" s="365"/>
      <c r="R41" s="365"/>
    </row>
    <row r="42" spans="1:18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5"/>
      <c r="K42" s="365"/>
      <c r="L42" s="365"/>
      <c r="M42" s="365"/>
      <c r="N42" s="365"/>
      <c r="O42" s="365"/>
      <c r="P42" s="365"/>
      <c r="Q42" s="365"/>
      <c r="R42" s="365"/>
    </row>
    <row r="43" spans="1:18" x14ac:dyDescent="0.25">
      <c r="A43" s="36"/>
      <c r="B43" s="36"/>
      <c r="C43" s="36"/>
      <c r="D43" s="36"/>
      <c r="E43" s="36"/>
      <c r="F43" s="36"/>
      <c r="G43" s="36"/>
      <c r="H43" s="36"/>
      <c r="I43" s="36"/>
    </row>
    <row r="44" spans="1:18" x14ac:dyDescent="0.25">
      <c r="A44" s="36"/>
      <c r="B44" s="36"/>
      <c r="C44" s="36"/>
      <c r="D44" s="36"/>
      <c r="E44" s="36"/>
      <c r="F44" s="36"/>
      <c r="G44" s="36"/>
      <c r="H44" s="36"/>
      <c r="I44" s="36"/>
    </row>
    <row r="45" spans="1:18" x14ac:dyDescent="0.25">
      <c r="A45" s="36"/>
      <c r="B45" s="36"/>
      <c r="C45" s="36"/>
      <c r="D45" s="36"/>
      <c r="E45" s="36"/>
      <c r="F45" s="36"/>
      <c r="G45" s="36"/>
      <c r="H45" s="36"/>
      <c r="I45" s="36"/>
    </row>
    <row r="46" spans="1:18" x14ac:dyDescent="0.25">
      <c r="A46" s="36"/>
      <c r="B46" s="36"/>
      <c r="C46" s="36"/>
      <c r="D46" s="36"/>
      <c r="E46" s="36"/>
      <c r="F46" s="36"/>
      <c r="G46" s="36"/>
      <c r="H46" s="36"/>
      <c r="I46" s="36"/>
    </row>
  </sheetData>
  <mergeCells count="30">
    <mergeCell ref="A26:B26"/>
    <mergeCell ref="C26:I26"/>
    <mergeCell ref="A6:I6"/>
    <mergeCell ref="A8:I10"/>
    <mergeCell ref="A22:B22"/>
    <mergeCell ref="C22:I22"/>
    <mergeCell ref="A23:B23"/>
    <mergeCell ref="C23:I23"/>
    <mergeCell ref="A19:B19"/>
    <mergeCell ref="C19:I19"/>
    <mergeCell ref="A20:B20"/>
    <mergeCell ref="C20:I20"/>
    <mergeCell ref="A21:B21"/>
    <mergeCell ref="C21:I21"/>
    <mergeCell ref="A33:I35"/>
    <mergeCell ref="G31:H32"/>
    <mergeCell ref="I31:I32"/>
    <mergeCell ref="A7:I7"/>
    <mergeCell ref="A27:B27"/>
    <mergeCell ref="C27:I27"/>
    <mergeCell ref="A28:B28"/>
    <mergeCell ref="C28:I28"/>
    <mergeCell ref="A30:I30"/>
    <mergeCell ref="A31:B32"/>
    <mergeCell ref="C31:D32"/>
    <mergeCell ref="E31:F32"/>
    <mergeCell ref="A24:B24"/>
    <mergeCell ref="C24:I24"/>
    <mergeCell ref="A25:B25"/>
    <mergeCell ref="C25:I25"/>
  </mergeCells>
  <hyperlinks>
    <hyperlink ref="C2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  <outlinePr summaryBelow="0" summaryRight="0"/>
  </sheetPr>
  <dimension ref="A1:E75"/>
  <sheetViews>
    <sheetView view="pageBreakPreview" topLeftCell="A10" zoomScale="60" zoomScaleNormal="85" workbookViewId="0">
      <selection activeCell="E40" sqref="E40"/>
    </sheetView>
  </sheetViews>
  <sheetFormatPr defaultColWidth="8.85546875" defaultRowHeight="15" outlineLevelRow="2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47" t="s">
        <v>99</v>
      </c>
      <c r="B1" s="747"/>
      <c r="C1" s="747"/>
      <c r="D1" s="748"/>
      <c r="E1" s="70" t="s">
        <v>35</v>
      </c>
    </row>
    <row r="2" spans="1:5" ht="15.75" collapsed="1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49" t="s">
        <v>79</v>
      </c>
      <c r="B3" s="750"/>
      <c r="C3" s="750"/>
      <c r="D3" s="81"/>
      <c r="E3" s="77">
        <f>E4+E25</f>
        <v>0</v>
      </c>
    </row>
    <row r="4" spans="1:5" ht="15.75" outlineLevel="1" thickBot="1" x14ac:dyDescent="0.3">
      <c r="A4" s="17" t="s">
        <v>106</v>
      </c>
      <c r="B4" s="17"/>
      <c r="C4" s="17"/>
      <c r="D4" s="28"/>
      <c r="E4" s="131">
        <f>SUM(E5:E24)</f>
        <v>0</v>
      </c>
    </row>
    <row r="5" spans="1:5" outlineLevel="2" x14ac:dyDescent="0.25">
      <c r="A5" s="751" t="s">
        <v>80</v>
      </c>
      <c r="B5" s="752" t="s">
        <v>81</v>
      </c>
      <c r="C5" s="752">
        <v>635009</v>
      </c>
      <c r="D5" s="67" t="s">
        <v>25</v>
      </c>
      <c r="E5" s="64">
        <v>0</v>
      </c>
    </row>
    <row r="6" spans="1:5" outlineLevel="2" x14ac:dyDescent="0.25">
      <c r="A6" s="751"/>
      <c r="B6" s="752"/>
      <c r="C6" s="752"/>
      <c r="D6" s="68" t="s">
        <v>26</v>
      </c>
      <c r="E6" s="65">
        <v>0</v>
      </c>
    </row>
    <row r="7" spans="1:5" outlineLevel="2" x14ac:dyDescent="0.25">
      <c r="A7" s="751"/>
      <c r="B7" s="752"/>
      <c r="C7" s="752"/>
      <c r="D7" s="68" t="s">
        <v>27</v>
      </c>
      <c r="E7" s="65">
        <v>0</v>
      </c>
    </row>
    <row r="8" spans="1:5" outlineLevel="2" x14ac:dyDescent="0.25">
      <c r="A8" s="751"/>
      <c r="B8" s="752"/>
      <c r="C8" s="752"/>
      <c r="D8" s="68" t="s">
        <v>28</v>
      </c>
      <c r="E8" s="65">
        <v>0</v>
      </c>
    </row>
    <row r="9" spans="1:5" outlineLevel="2" x14ac:dyDescent="0.25">
      <c r="A9" s="751"/>
      <c r="B9" s="752"/>
      <c r="C9" s="752"/>
      <c r="D9" s="68" t="s">
        <v>29</v>
      </c>
      <c r="E9" s="65">
        <v>0</v>
      </c>
    </row>
    <row r="10" spans="1:5" outlineLevel="2" x14ac:dyDescent="0.25">
      <c r="A10" s="751"/>
      <c r="B10" s="752"/>
      <c r="C10" s="752"/>
      <c r="D10" s="68" t="s">
        <v>30</v>
      </c>
      <c r="E10" s="65">
        <v>0</v>
      </c>
    </row>
    <row r="11" spans="1:5" outlineLevel="2" x14ac:dyDescent="0.25">
      <c r="A11" s="751"/>
      <c r="B11" s="752"/>
      <c r="C11" s="752"/>
      <c r="D11" s="68" t="s">
        <v>31</v>
      </c>
      <c r="E11" s="65">
        <v>0</v>
      </c>
    </row>
    <row r="12" spans="1:5" outlineLevel="2" x14ac:dyDescent="0.25">
      <c r="A12" s="751"/>
      <c r="B12" s="752"/>
      <c r="C12" s="752"/>
      <c r="D12" s="68" t="s">
        <v>32</v>
      </c>
      <c r="E12" s="65">
        <v>0</v>
      </c>
    </row>
    <row r="13" spans="1:5" outlineLevel="2" x14ac:dyDescent="0.25">
      <c r="A13" s="751"/>
      <c r="B13" s="752"/>
      <c r="C13" s="752"/>
      <c r="D13" s="68" t="s">
        <v>33</v>
      </c>
      <c r="E13" s="65">
        <v>0</v>
      </c>
    </row>
    <row r="14" spans="1:5" ht="15.75" outlineLevel="2" thickBot="1" x14ac:dyDescent="0.3">
      <c r="A14" s="751"/>
      <c r="B14" s="752"/>
      <c r="C14" s="752"/>
      <c r="D14" s="69" t="s">
        <v>34</v>
      </c>
      <c r="E14" s="66">
        <v>0</v>
      </c>
    </row>
    <row r="15" spans="1:5" outlineLevel="2" x14ac:dyDescent="0.25">
      <c r="A15" s="751" t="s">
        <v>82</v>
      </c>
      <c r="B15" s="752" t="s">
        <v>73</v>
      </c>
      <c r="C15" s="752">
        <v>718006</v>
      </c>
      <c r="D15" s="67" t="s">
        <v>25</v>
      </c>
      <c r="E15" s="65">
        <v>0</v>
      </c>
    </row>
    <row r="16" spans="1:5" outlineLevel="2" x14ac:dyDescent="0.25">
      <c r="A16" s="751"/>
      <c r="B16" s="752"/>
      <c r="C16" s="752"/>
      <c r="D16" s="68" t="s">
        <v>26</v>
      </c>
      <c r="E16" s="65">
        <v>0</v>
      </c>
    </row>
    <row r="17" spans="1:5" outlineLevel="2" x14ac:dyDescent="0.25">
      <c r="A17" s="751"/>
      <c r="B17" s="752"/>
      <c r="C17" s="752"/>
      <c r="D17" s="68" t="s">
        <v>27</v>
      </c>
      <c r="E17" s="65">
        <v>0</v>
      </c>
    </row>
    <row r="18" spans="1:5" outlineLevel="2" x14ac:dyDescent="0.25">
      <c r="A18" s="751"/>
      <c r="B18" s="752"/>
      <c r="C18" s="752"/>
      <c r="D18" s="68" t="s">
        <v>28</v>
      </c>
      <c r="E18" s="65">
        <v>0</v>
      </c>
    </row>
    <row r="19" spans="1:5" outlineLevel="2" x14ac:dyDescent="0.25">
      <c r="A19" s="751"/>
      <c r="B19" s="752"/>
      <c r="C19" s="752"/>
      <c r="D19" s="68" t="s">
        <v>29</v>
      </c>
      <c r="E19" s="65">
        <v>0</v>
      </c>
    </row>
    <row r="20" spans="1:5" outlineLevel="2" x14ac:dyDescent="0.25">
      <c r="A20" s="751"/>
      <c r="B20" s="752"/>
      <c r="C20" s="752"/>
      <c r="D20" s="68" t="s">
        <v>30</v>
      </c>
      <c r="E20" s="65">
        <v>0</v>
      </c>
    </row>
    <row r="21" spans="1:5" outlineLevel="2" x14ac:dyDescent="0.25">
      <c r="A21" s="751"/>
      <c r="B21" s="752"/>
      <c r="C21" s="752"/>
      <c r="D21" s="68" t="s">
        <v>31</v>
      </c>
      <c r="E21" s="65">
        <v>0</v>
      </c>
    </row>
    <row r="22" spans="1:5" outlineLevel="2" x14ac:dyDescent="0.25">
      <c r="A22" s="751"/>
      <c r="B22" s="752"/>
      <c r="C22" s="752"/>
      <c r="D22" s="68" t="s">
        <v>32</v>
      </c>
      <c r="E22" s="65">
        <v>0</v>
      </c>
    </row>
    <row r="23" spans="1:5" outlineLevel="2" x14ac:dyDescent="0.25">
      <c r="A23" s="751"/>
      <c r="B23" s="752"/>
      <c r="C23" s="752"/>
      <c r="D23" s="68" t="s">
        <v>33</v>
      </c>
      <c r="E23" s="65">
        <v>0</v>
      </c>
    </row>
    <row r="24" spans="1:5" ht="15.75" outlineLevel="2" thickBot="1" x14ac:dyDescent="0.3">
      <c r="A24" s="751"/>
      <c r="B24" s="752"/>
      <c r="C24" s="752"/>
      <c r="D24" s="69" t="s">
        <v>34</v>
      </c>
      <c r="E24" s="66">
        <v>0</v>
      </c>
    </row>
    <row r="25" spans="1:5" ht="15.75" outlineLevel="1" thickBot="1" x14ac:dyDescent="0.3">
      <c r="A25" s="17" t="s">
        <v>107</v>
      </c>
      <c r="B25" s="17"/>
      <c r="C25" s="17"/>
      <c r="D25" s="28"/>
      <c r="E25" s="133">
        <f>SUM(E26:E75)</f>
        <v>0</v>
      </c>
    </row>
    <row r="26" spans="1:5" outlineLevel="2" x14ac:dyDescent="0.25">
      <c r="A26" s="751" t="s">
        <v>83</v>
      </c>
      <c r="B26" s="752" t="s">
        <v>81</v>
      </c>
      <c r="C26" s="752">
        <v>635009</v>
      </c>
      <c r="D26" s="67" t="s">
        <v>25</v>
      </c>
      <c r="E26" s="71">
        <v>0</v>
      </c>
    </row>
    <row r="27" spans="1:5" outlineLevel="2" x14ac:dyDescent="0.25">
      <c r="A27" s="751"/>
      <c r="B27" s="752"/>
      <c r="C27" s="752"/>
      <c r="D27" s="68" t="s">
        <v>26</v>
      </c>
      <c r="E27" s="72">
        <v>0</v>
      </c>
    </row>
    <row r="28" spans="1:5" outlineLevel="2" x14ac:dyDescent="0.25">
      <c r="A28" s="751"/>
      <c r="B28" s="752"/>
      <c r="C28" s="752"/>
      <c r="D28" s="68" t="s">
        <v>27</v>
      </c>
      <c r="E28" s="72">
        <v>0</v>
      </c>
    </row>
    <row r="29" spans="1:5" outlineLevel="2" x14ac:dyDescent="0.25">
      <c r="A29" s="751"/>
      <c r="B29" s="752"/>
      <c r="C29" s="752"/>
      <c r="D29" s="68" t="s">
        <v>28</v>
      </c>
      <c r="E29" s="72">
        <v>0</v>
      </c>
    </row>
    <row r="30" spans="1:5" outlineLevel="2" x14ac:dyDescent="0.25">
      <c r="A30" s="751"/>
      <c r="B30" s="752"/>
      <c r="C30" s="752"/>
      <c r="D30" s="68" t="s">
        <v>29</v>
      </c>
      <c r="E30" s="72">
        <v>0</v>
      </c>
    </row>
    <row r="31" spans="1:5" outlineLevel="2" x14ac:dyDescent="0.25">
      <c r="A31" s="751"/>
      <c r="B31" s="752"/>
      <c r="C31" s="752"/>
      <c r="D31" s="68" t="s">
        <v>30</v>
      </c>
      <c r="E31" s="72">
        <v>0</v>
      </c>
    </row>
    <row r="32" spans="1:5" outlineLevel="2" x14ac:dyDescent="0.25">
      <c r="A32" s="751"/>
      <c r="B32" s="752"/>
      <c r="C32" s="752"/>
      <c r="D32" s="68" t="s">
        <v>31</v>
      </c>
      <c r="E32" s="72">
        <v>0</v>
      </c>
    </row>
    <row r="33" spans="1:5" outlineLevel="2" x14ac:dyDescent="0.25">
      <c r="A33" s="751"/>
      <c r="B33" s="752"/>
      <c r="C33" s="752"/>
      <c r="D33" s="68" t="s">
        <v>32</v>
      </c>
      <c r="E33" s="72">
        <v>0</v>
      </c>
    </row>
    <row r="34" spans="1:5" outlineLevel="2" x14ac:dyDescent="0.25">
      <c r="A34" s="751"/>
      <c r="B34" s="752"/>
      <c r="C34" s="752"/>
      <c r="D34" s="68" t="s">
        <v>33</v>
      </c>
      <c r="E34" s="72">
        <v>0</v>
      </c>
    </row>
    <row r="35" spans="1:5" ht="15.75" outlineLevel="2" thickBot="1" x14ac:dyDescent="0.3">
      <c r="A35" s="751"/>
      <c r="B35" s="752"/>
      <c r="C35" s="752"/>
      <c r="D35" s="69" t="s">
        <v>34</v>
      </c>
      <c r="E35" s="73">
        <v>0</v>
      </c>
    </row>
    <row r="36" spans="1:5" outlineLevel="2" x14ac:dyDescent="0.25">
      <c r="A36" s="751" t="s">
        <v>84</v>
      </c>
      <c r="B36" s="752" t="s">
        <v>78</v>
      </c>
      <c r="C36" s="752">
        <v>637005</v>
      </c>
      <c r="D36" s="67" t="s">
        <v>25</v>
      </c>
      <c r="E36" s="72">
        <v>0</v>
      </c>
    </row>
    <row r="37" spans="1:5" outlineLevel="2" x14ac:dyDescent="0.25">
      <c r="A37" s="751"/>
      <c r="B37" s="752"/>
      <c r="C37" s="752"/>
      <c r="D37" s="68" t="s">
        <v>26</v>
      </c>
      <c r="E37" s="72">
        <v>0</v>
      </c>
    </row>
    <row r="38" spans="1:5" outlineLevel="2" x14ac:dyDescent="0.25">
      <c r="A38" s="751"/>
      <c r="B38" s="752"/>
      <c r="C38" s="752"/>
      <c r="D38" s="68" t="s">
        <v>27</v>
      </c>
      <c r="E38" s="72">
        <v>0</v>
      </c>
    </row>
    <row r="39" spans="1:5" outlineLevel="2" x14ac:dyDescent="0.25">
      <c r="A39" s="751"/>
      <c r="B39" s="752"/>
      <c r="C39" s="752"/>
      <c r="D39" s="68" t="s">
        <v>28</v>
      </c>
      <c r="E39" s="72">
        <v>0</v>
      </c>
    </row>
    <row r="40" spans="1:5" outlineLevel="2" x14ac:dyDescent="0.25">
      <c r="A40" s="751"/>
      <c r="B40" s="752"/>
      <c r="C40" s="752"/>
      <c r="D40" s="68" t="s">
        <v>29</v>
      </c>
      <c r="E40" s="72">
        <v>0</v>
      </c>
    </row>
    <row r="41" spans="1:5" outlineLevel="2" x14ac:dyDescent="0.25">
      <c r="A41" s="751"/>
      <c r="B41" s="752"/>
      <c r="C41" s="752"/>
      <c r="D41" s="68" t="s">
        <v>30</v>
      </c>
      <c r="E41" s="72">
        <v>0</v>
      </c>
    </row>
    <row r="42" spans="1:5" outlineLevel="2" x14ac:dyDescent="0.25">
      <c r="A42" s="751"/>
      <c r="B42" s="752"/>
      <c r="C42" s="752"/>
      <c r="D42" s="68" t="s">
        <v>31</v>
      </c>
      <c r="E42" s="72">
        <v>0</v>
      </c>
    </row>
    <row r="43" spans="1:5" outlineLevel="2" x14ac:dyDescent="0.25">
      <c r="A43" s="751"/>
      <c r="B43" s="752"/>
      <c r="C43" s="752"/>
      <c r="D43" s="68" t="s">
        <v>32</v>
      </c>
      <c r="E43" s="72">
        <v>0</v>
      </c>
    </row>
    <row r="44" spans="1:5" outlineLevel="2" x14ac:dyDescent="0.25">
      <c r="A44" s="751"/>
      <c r="B44" s="752"/>
      <c r="C44" s="752"/>
      <c r="D44" s="68" t="s">
        <v>33</v>
      </c>
      <c r="E44" s="72">
        <v>0</v>
      </c>
    </row>
    <row r="45" spans="1:5" ht="15.75" outlineLevel="2" thickBot="1" x14ac:dyDescent="0.3">
      <c r="A45" s="751"/>
      <c r="B45" s="752"/>
      <c r="C45" s="752"/>
      <c r="D45" s="69" t="s">
        <v>34</v>
      </c>
      <c r="E45" s="73">
        <v>0</v>
      </c>
    </row>
    <row r="46" spans="1:5" outlineLevel="2" x14ac:dyDescent="0.25">
      <c r="A46" s="751" t="s">
        <v>85</v>
      </c>
      <c r="B46" s="752" t="s">
        <v>73</v>
      </c>
      <c r="C46" s="752">
        <v>718006</v>
      </c>
      <c r="D46" s="67" t="s">
        <v>25</v>
      </c>
      <c r="E46" s="72">
        <v>0</v>
      </c>
    </row>
    <row r="47" spans="1:5" outlineLevel="2" x14ac:dyDescent="0.25">
      <c r="A47" s="751"/>
      <c r="B47" s="752"/>
      <c r="C47" s="752"/>
      <c r="D47" s="68" t="s">
        <v>26</v>
      </c>
      <c r="E47" s="72">
        <v>0</v>
      </c>
    </row>
    <row r="48" spans="1:5" outlineLevel="2" x14ac:dyDescent="0.25">
      <c r="A48" s="751"/>
      <c r="B48" s="752"/>
      <c r="C48" s="752"/>
      <c r="D48" s="68" t="s">
        <v>27</v>
      </c>
      <c r="E48" s="72">
        <v>0</v>
      </c>
    </row>
    <row r="49" spans="1:5" outlineLevel="2" x14ac:dyDescent="0.25">
      <c r="A49" s="751"/>
      <c r="B49" s="752"/>
      <c r="C49" s="752"/>
      <c r="D49" s="68" t="s">
        <v>28</v>
      </c>
      <c r="E49" s="72">
        <v>0</v>
      </c>
    </row>
    <row r="50" spans="1:5" outlineLevel="2" x14ac:dyDescent="0.25">
      <c r="A50" s="751"/>
      <c r="B50" s="752"/>
      <c r="C50" s="752"/>
      <c r="D50" s="68" t="s">
        <v>29</v>
      </c>
      <c r="E50" s="72">
        <v>0</v>
      </c>
    </row>
    <row r="51" spans="1:5" outlineLevel="2" x14ac:dyDescent="0.25">
      <c r="A51" s="751"/>
      <c r="B51" s="752"/>
      <c r="C51" s="752"/>
      <c r="D51" s="68" t="s">
        <v>30</v>
      </c>
      <c r="E51" s="72">
        <v>0</v>
      </c>
    </row>
    <row r="52" spans="1:5" outlineLevel="2" x14ac:dyDescent="0.25">
      <c r="A52" s="751"/>
      <c r="B52" s="752"/>
      <c r="C52" s="752"/>
      <c r="D52" s="68" t="s">
        <v>31</v>
      </c>
      <c r="E52" s="72">
        <v>0</v>
      </c>
    </row>
    <row r="53" spans="1:5" outlineLevel="2" x14ac:dyDescent="0.25">
      <c r="A53" s="751"/>
      <c r="B53" s="752"/>
      <c r="C53" s="752"/>
      <c r="D53" s="68" t="s">
        <v>32</v>
      </c>
      <c r="E53" s="72">
        <v>0</v>
      </c>
    </row>
    <row r="54" spans="1:5" outlineLevel="2" x14ac:dyDescent="0.25">
      <c r="A54" s="751"/>
      <c r="B54" s="752"/>
      <c r="C54" s="752"/>
      <c r="D54" s="68" t="s">
        <v>33</v>
      </c>
      <c r="E54" s="72">
        <v>0</v>
      </c>
    </row>
    <row r="55" spans="1:5" ht="15.75" outlineLevel="2" thickBot="1" x14ac:dyDescent="0.3">
      <c r="A55" s="751"/>
      <c r="B55" s="752"/>
      <c r="C55" s="752"/>
      <c r="D55" s="69" t="s">
        <v>34</v>
      </c>
      <c r="E55" s="73">
        <v>0</v>
      </c>
    </row>
    <row r="56" spans="1:5" outlineLevel="2" x14ac:dyDescent="0.25">
      <c r="A56" s="751" t="s">
        <v>86</v>
      </c>
      <c r="B56" s="752" t="s">
        <v>87</v>
      </c>
      <c r="C56" s="752"/>
      <c r="D56" s="67" t="s">
        <v>25</v>
      </c>
      <c r="E56" s="72">
        <v>0</v>
      </c>
    </row>
    <row r="57" spans="1:5" outlineLevel="2" x14ac:dyDescent="0.25">
      <c r="A57" s="751"/>
      <c r="B57" s="752"/>
      <c r="C57" s="752"/>
      <c r="D57" s="68" t="s">
        <v>26</v>
      </c>
      <c r="E57" s="72">
        <v>0</v>
      </c>
    </row>
    <row r="58" spans="1:5" outlineLevel="2" x14ac:dyDescent="0.25">
      <c r="A58" s="751"/>
      <c r="B58" s="752"/>
      <c r="C58" s="752"/>
      <c r="D58" s="68" t="s">
        <v>27</v>
      </c>
      <c r="E58" s="72">
        <v>0</v>
      </c>
    </row>
    <row r="59" spans="1:5" outlineLevel="2" x14ac:dyDescent="0.25">
      <c r="A59" s="751"/>
      <c r="B59" s="752"/>
      <c r="C59" s="752"/>
      <c r="D59" s="68" t="s">
        <v>28</v>
      </c>
      <c r="E59" s="72">
        <v>0</v>
      </c>
    </row>
    <row r="60" spans="1:5" outlineLevel="2" x14ac:dyDescent="0.25">
      <c r="A60" s="751"/>
      <c r="B60" s="752"/>
      <c r="C60" s="752"/>
      <c r="D60" s="68" t="s">
        <v>29</v>
      </c>
      <c r="E60" s="72">
        <v>0</v>
      </c>
    </row>
    <row r="61" spans="1:5" outlineLevel="2" x14ac:dyDescent="0.25">
      <c r="A61" s="751"/>
      <c r="B61" s="752"/>
      <c r="C61" s="752"/>
      <c r="D61" s="68" t="s">
        <v>30</v>
      </c>
      <c r="E61" s="72">
        <v>0</v>
      </c>
    </row>
    <row r="62" spans="1:5" outlineLevel="2" x14ac:dyDescent="0.25">
      <c r="A62" s="751"/>
      <c r="B62" s="752"/>
      <c r="C62" s="752"/>
      <c r="D62" s="68" t="s">
        <v>31</v>
      </c>
      <c r="E62" s="72">
        <v>0</v>
      </c>
    </row>
    <row r="63" spans="1:5" outlineLevel="2" x14ac:dyDescent="0.25">
      <c r="A63" s="751"/>
      <c r="B63" s="752"/>
      <c r="C63" s="752"/>
      <c r="D63" s="68" t="s">
        <v>32</v>
      </c>
      <c r="E63" s="72">
        <v>0</v>
      </c>
    </row>
    <row r="64" spans="1:5" outlineLevel="2" x14ac:dyDescent="0.25">
      <c r="A64" s="751"/>
      <c r="B64" s="752"/>
      <c r="C64" s="752"/>
      <c r="D64" s="68" t="s">
        <v>33</v>
      </c>
      <c r="E64" s="72">
        <v>0</v>
      </c>
    </row>
    <row r="65" spans="1:5" ht="15.75" outlineLevel="2" thickBot="1" x14ac:dyDescent="0.3">
      <c r="A65" s="751"/>
      <c r="B65" s="752"/>
      <c r="C65" s="752"/>
      <c r="D65" s="69" t="s">
        <v>34</v>
      </c>
      <c r="E65" s="73">
        <v>0</v>
      </c>
    </row>
    <row r="66" spans="1:5" outlineLevel="2" x14ac:dyDescent="0.25">
      <c r="A66" s="751" t="s">
        <v>77</v>
      </c>
      <c r="B66" s="752" t="s">
        <v>78</v>
      </c>
      <c r="C66" s="752">
        <v>637001</v>
      </c>
      <c r="D66" s="67" t="s">
        <v>25</v>
      </c>
      <c r="E66" s="72">
        <v>0</v>
      </c>
    </row>
    <row r="67" spans="1:5" outlineLevel="2" x14ac:dyDescent="0.25">
      <c r="A67" s="751"/>
      <c r="B67" s="752"/>
      <c r="C67" s="752"/>
      <c r="D67" s="68" t="s">
        <v>26</v>
      </c>
      <c r="E67" s="72">
        <v>0</v>
      </c>
    </row>
    <row r="68" spans="1:5" outlineLevel="2" x14ac:dyDescent="0.25">
      <c r="A68" s="751"/>
      <c r="B68" s="752"/>
      <c r="C68" s="752"/>
      <c r="D68" s="68" t="s">
        <v>27</v>
      </c>
      <c r="E68" s="72">
        <v>0</v>
      </c>
    </row>
    <row r="69" spans="1:5" outlineLevel="2" x14ac:dyDescent="0.25">
      <c r="A69" s="751"/>
      <c r="B69" s="752"/>
      <c r="C69" s="752"/>
      <c r="D69" s="68" t="s">
        <v>28</v>
      </c>
      <c r="E69" s="72">
        <v>0</v>
      </c>
    </row>
    <row r="70" spans="1:5" outlineLevel="2" x14ac:dyDescent="0.25">
      <c r="A70" s="751"/>
      <c r="B70" s="752"/>
      <c r="C70" s="752"/>
      <c r="D70" s="68" t="s">
        <v>29</v>
      </c>
      <c r="E70" s="72">
        <v>0</v>
      </c>
    </row>
    <row r="71" spans="1:5" outlineLevel="2" x14ac:dyDescent="0.25">
      <c r="A71" s="751"/>
      <c r="B71" s="752"/>
      <c r="C71" s="752"/>
      <c r="D71" s="68" t="s">
        <v>30</v>
      </c>
      <c r="E71" s="72">
        <v>0</v>
      </c>
    </row>
    <row r="72" spans="1:5" outlineLevel="2" x14ac:dyDescent="0.25">
      <c r="A72" s="751"/>
      <c r="B72" s="752"/>
      <c r="C72" s="752"/>
      <c r="D72" s="68" t="s">
        <v>31</v>
      </c>
      <c r="E72" s="72">
        <v>0</v>
      </c>
    </row>
    <row r="73" spans="1:5" outlineLevel="2" x14ac:dyDescent="0.25">
      <c r="A73" s="751"/>
      <c r="B73" s="752"/>
      <c r="C73" s="752"/>
      <c r="D73" s="68" t="s">
        <v>32</v>
      </c>
      <c r="E73" s="72">
        <v>0</v>
      </c>
    </row>
    <row r="74" spans="1:5" outlineLevel="2" x14ac:dyDescent="0.25">
      <c r="A74" s="751"/>
      <c r="B74" s="752"/>
      <c r="C74" s="752"/>
      <c r="D74" s="68" t="s">
        <v>33</v>
      </c>
      <c r="E74" s="72">
        <v>0</v>
      </c>
    </row>
    <row r="75" spans="1:5" ht="15.75" outlineLevel="2" thickBot="1" x14ac:dyDescent="0.3">
      <c r="A75" s="751"/>
      <c r="B75" s="752"/>
      <c r="C75" s="752"/>
      <c r="D75" s="69" t="s">
        <v>34</v>
      </c>
      <c r="E75" s="73">
        <v>0</v>
      </c>
    </row>
  </sheetData>
  <mergeCells count="23">
    <mergeCell ref="A56:A65"/>
    <mergeCell ref="B56:B65"/>
    <mergeCell ref="C56:C65"/>
    <mergeCell ref="A66:A75"/>
    <mergeCell ref="B66:B75"/>
    <mergeCell ref="C66:C75"/>
    <mergeCell ref="A36:A45"/>
    <mergeCell ref="B36:B45"/>
    <mergeCell ref="C36:C45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A1:D1"/>
    <mergeCell ref="A3:C3"/>
    <mergeCell ref="A5:A14"/>
    <mergeCell ref="B5:B14"/>
    <mergeCell ref="C5:C14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CC"/>
    <outlinePr summaryBelow="0" summaryRight="0"/>
  </sheetPr>
  <dimension ref="A1:E53"/>
  <sheetViews>
    <sheetView view="pageBreakPreview" zoomScale="60" zoomScaleNormal="85" workbookViewId="0">
      <selection activeCell="V52" sqref="V52"/>
    </sheetView>
  </sheetViews>
  <sheetFormatPr defaultColWidth="8.85546875" defaultRowHeight="15" outlineLevelRow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47" t="s">
        <v>98</v>
      </c>
      <c r="B1" s="747"/>
      <c r="C1" s="747"/>
      <c r="D1" s="748"/>
      <c r="E1" s="70" t="s">
        <v>35</v>
      </c>
    </row>
    <row r="2" spans="1:5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53" t="s">
        <v>89</v>
      </c>
      <c r="B3" s="753"/>
      <c r="C3" s="753"/>
      <c r="D3" s="76"/>
      <c r="E3" s="77">
        <f>SUM(E4:E53)</f>
        <v>0</v>
      </c>
    </row>
    <row r="4" spans="1:5" outlineLevel="1" x14ac:dyDescent="0.25">
      <c r="A4" s="751" t="s">
        <v>94</v>
      </c>
      <c r="B4" s="752" t="s">
        <v>81</v>
      </c>
      <c r="C4" s="752">
        <v>635002</v>
      </c>
      <c r="D4" s="67" t="s">
        <v>25</v>
      </c>
      <c r="E4" s="71">
        <v>0</v>
      </c>
    </row>
    <row r="5" spans="1:5" outlineLevel="1" x14ac:dyDescent="0.25">
      <c r="A5" s="751"/>
      <c r="B5" s="752"/>
      <c r="C5" s="752"/>
      <c r="D5" s="68" t="s">
        <v>26</v>
      </c>
      <c r="E5" s="72">
        <v>0</v>
      </c>
    </row>
    <row r="6" spans="1:5" outlineLevel="1" x14ac:dyDescent="0.25">
      <c r="A6" s="751"/>
      <c r="B6" s="752"/>
      <c r="C6" s="752"/>
      <c r="D6" s="68" t="s">
        <v>27</v>
      </c>
      <c r="E6" s="72">
        <v>0</v>
      </c>
    </row>
    <row r="7" spans="1:5" outlineLevel="1" x14ac:dyDescent="0.25">
      <c r="A7" s="751"/>
      <c r="B7" s="752"/>
      <c r="C7" s="752"/>
      <c r="D7" s="68" t="s">
        <v>28</v>
      </c>
      <c r="E7" s="72">
        <v>0</v>
      </c>
    </row>
    <row r="8" spans="1:5" outlineLevel="1" x14ac:dyDescent="0.25">
      <c r="A8" s="751"/>
      <c r="B8" s="752"/>
      <c r="C8" s="752"/>
      <c r="D8" s="68" t="s">
        <v>29</v>
      </c>
      <c r="E8" s="72">
        <v>0</v>
      </c>
    </row>
    <row r="9" spans="1:5" outlineLevel="1" x14ac:dyDescent="0.25">
      <c r="A9" s="751"/>
      <c r="B9" s="752"/>
      <c r="C9" s="752"/>
      <c r="D9" s="68" t="s">
        <v>30</v>
      </c>
      <c r="E9" s="72">
        <v>0</v>
      </c>
    </row>
    <row r="10" spans="1:5" outlineLevel="1" x14ac:dyDescent="0.25">
      <c r="A10" s="751"/>
      <c r="B10" s="752"/>
      <c r="C10" s="752"/>
      <c r="D10" s="68" t="s">
        <v>31</v>
      </c>
      <c r="E10" s="72">
        <v>0</v>
      </c>
    </row>
    <row r="11" spans="1:5" outlineLevel="1" x14ac:dyDescent="0.25">
      <c r="A11" s="751"/>
      <c r="B11" s="752"/>
      <c r="C11" s="752"/>
      <c r="D11" s="68" t="s">
        <v>32</v>
      </c>
      <c r="E11" s="72">
        <v>0</v>
      </c>
    </row>
    <row r="12" spans="1:5" outlineLevel="1" x14ac:dyDescent="0.25">
      <c r="A12" s="751"/>
      <c r="B12" s="752"/>
      <c r="C12" s="752"/>
      <c r="D12" s="68" t="s">
        <v>33</v>
      </c>
      <c r="E12" s="72">
        <v>0</v>
      </c>
    </row>
    <row r="13" spans="1:5" ht="15.75" outlineLevel="1" thickBot="1" x14ac:dyDescent="0.3">
      <c r="A13" s="751"/>
      <c r="B13" s="752"/>
      <c r="C13" s="752"/>
      <c r="D13" s="69" t="s">
        <v>34</v>
      </c>
      <c r="E13" s="73">
        <v>0</v>
      </c>
    </row>
    <row r="14" spans="1:5" outlineLevel="1" x14ac:dyDescent="0.25">
      <c r="A14" s="751" t="s">
        <v>95</v>
      </c>
      <c r="B14" s="751" t="s">
        <v>93</v>
      </c>
      <c r="C14" s="752">
        <v>718002</v>
      </c>
      <c r="D14" s="67" t="s">
        <v>25</v>
      </c>
      <c r="E14" s="72">
        <v>0</v>
      </c>
    </row>
    <row r="15" spans="1:5" outlineLevel="1" x14ac:dyDescent="0.25">
      <c r="A15" s="751"/>
      <c r="B15" s="752"/>
      <c r="C15" s="752"/>
      <c r="D15" s="68" t="s">
        <v>26</v>
      </c>
      <c r="E15" s="72">
        <v>0</v>
      </c>
    </row>
    <row r="16" spans="1:5" outlineLevel="1" x14ac:dyDescent="0.25">
      <c r="A16" s="751"/>
      <c r="B16" s="752"/>
      <c r="C16" s="752"/>
      <c r="D16" s="68" t="s">
        <v>27</v>
      </c>
      <c r="E16" s="72">
        <v>0</v>
      </c>
    </row>
    <row r="17" spans="1:5" outlineLevel="1" x14ac:dyDescent="0.25">
      <c r="A17" s="751"/>
      <c r="B17" s="752"/>
      <c r="C17" s="752"/>
      <c r="D17" s="68" t="s">
        <v>28</v>
      </c>
      <c r="E17" s="72">
        <v>0</v>
      </c>
    </row>
    <row r="18" spans="1:5" outlineLevel="1" x14ac:dyDescent="0.25">
      <c r="A18" s="751"/>
      <c r="B18" s="752"/>
      <c r="C18" s="752"/>
      <c r="D18" s="68" t="s">
        <v>29</v>
      </c>
      <c r="E18" s="72">
        <v>0</v>
      </c>
    </row>
    <row r="19" spans="1:5" outlineLevel="1" x14ac:dyDescent="0.25">
      <c r="A19" s="751"/>
      <c r="B19" s="752"/>
      <c r="C19" s="752"/>
      <c r="D19" s="68" t="s">
        <v>30</v>
      </c>
      <c r="E19" s="72">
        <v>0</v>
      </c>
    </row>
    <row r="20" spans="1:5" outlineLevel="1" x14ac:dyDescent="0.25">
      <c r="A20" s="751"/>
      <c r="B20" s="752"/>
      <c r="C20" s="752"/>
      <c r="D20" s="68" t="s">
        <v>31</v>
      </c>
      <c r="E20" s="72">
        <v>0</v>
      </c>
    </row>
    <row r="21" spans="1:5" outlineLevel="1" x14ac:dyDescent="0.25">
      <c r="A21" s="751"/>
      <c r="B21" s="752"/>
      <c r="C21" s="752"/>
      <c r="D21" s="68" t="s">
        <v>32</v>
      </c>
      <c r="E21" s="72">
        <v>0</v>
      </c>
    </row>
    <row r="22" spans="1:5" outlineLevel="1" x14ac:dyDescent="0.25">
      <c r="A22" s="751"/>
      <c r="B22" s="752"/>
      <c r="C22" s="752"/>
      <c r="D22" s="68" t="s">
        <v>33</v>
      </c>
      <c r="E22" s="72">
        <v>0</v>
      </c>
    </row>
    <row r="23" spans="1:5" ht="15.75" outlineLevel="1" thickBot="1" x14ac:dyDescent="0.3">
      <c r="A23" s="751"/>
      <c r="B23" s="752"/>
      <c r="C23" s="752"/>
      <c r="D23" s="69" t="s">
        <v>34</v>
      </c>
      <c r="E23" s="73">
        <v>0</v>
      </c>
    </row>
    <row r="24" spans="1:5" outlineLevel="1" x14ac:dyDescent="0.25">
      <c r="A24" s="751" t="s">
        <v>96</v>
      </c>
      <c r="B24" s="752"/>
      <c r="C24" s="752"/>
      <c r="D24" s="67" t="s">
        <v>25</v>
      </c>
      <c r="E24" s="72">
        <v>0</v>
      </c>
    </row>
    <row r="25" spans="1:5" outlineLevel="1" x14ac:dyDescent="0.25">
      <c r="A25" s="751"/>
      <c r="B25" s="752"/>
      <c r="C25" s="752"/>
      <c r="D25" s="68" t="s">
        <v>26</v>
      </c>
      <c r="E25" s="72">
        <v>0</v>
      </c>
    </row>
    <row r="26" spans="1:5" outlineLevel="1" x14ac:dyDescent="0.25">
      <c r="A26" s="751"/>
      <c r="B26" s="752"/>
      <c r="C26" s="752"/>
      <c r="D26" s="68" t="s">
        <v>27</v>
      </c>
      <c r="E26" s="72">
        <v>0</v>
      </c>
    </row>
    <row r="27" spans="1:5" outlineLevel="1" x14ac:dyDescent="0.25">
      <c r="A27" s="751"/>
      <c r="B27" s="752"/>
      <c r="C27" s="752"/>
      <c r="D27" s="68" t="s">
        <v>28</v>
      </c>
      <c r="E27" s="72">
        <v>0</v>
      </c>
    </row>
    <row r="28" spans="1:5" outlineLevel="1" x14ac:dyDescent="0.25">
      <c r="A28" s="751"/>
      <c r="B28" s="752"/>
      <c r="C28" s="752"/>
      <c r="D28" s="68" t="s">
        <v>29</v>
      </c>
      <c r="E28" s="72">
        <v>0</v>
      </c>
    </row>
    <row r="29" spans="1:5" outlineLevel="1" x14ac:dyDescent="0.25">
      <c r="A29" s="751"/>
      <c r="B29" s="752"/>
      <c r="C29" s="752"/>
      <c r="D29" s="68" t="s">
        <v>30</v>
      </c>
      <c r="E29" s="72">
        <v>0</v>
      </c>
    </row>
    <row r="30" spans="1:5" outlineLevel="1" x14ac:dyDescent="0.25">
      <c r="A30" s="751"/>
      <c r="B30" s="752"/>
      <c r="C30" s="752"/>
      <c r="D30" s="68" t="s">
        <v>31</v>
      </c>
      <c r="E30" s="72">
        <v>0</v>
      </c>
    </row>
    <row r="31" spans="1:5" outlineLevel="1" x14ac:dyDescent="0.25">
      <c r="A31" s="751"/>
      <c r="B31" s="752"/>
      <c r="C31" s="752"/>
      <c r="D31" s="68" t="s">
        <v>32</v>
      </c>
      <c r="E31" s="72">
        <v>0</v>
      </c>
    </row>
    <row r="32" spans="1:5" outlineLevel="1" x14ac:dyDescent="0.25">
      <c r="A32" s="751"/>
      <c r="B32" s="752"/>
      <c r="C32" s="752"/>
      <c r="D32" s="68" t="s">
        <v>33</v>
      </c>
      <c r="E32" s="72">
        <v>0</v>
      </c>
    </row>
    <row r="33" spans="1:5" ht="15.75" outlineLevel="1" thickBot="1" x14ac:dyDescent="0.3">
      <c r="A33" s="751"/>
      <c r="B33" s="752"/>
      <c r="C33" s="752"/>
      <c r="D33" s="69" t="s">
        <v>34</v>
      </c>
      <c r="E33" s="73">
        <v>0</v>
      </c>
    </row>
    <row r="34" spans="1:5" outlineLevel="1" x14ac:dyDescent="0.25">
      <c r="A34" s="751" t="s">
        <v>97</v>
      </c>
      <c r="B34" s="752"/>
      <c r="C34" s="752"/>
      <c r="D34" s="67" t="s">
        <v>25</v>
      </c>
      <c r="E34" s="72">
        <v>0</v>
      </c>
    </row>
    <row r="35" spans="1:5" outlineLevel="1" x14ac:dyDescent="0.25">
      <c r="A35" s="751"/>
      <c r="B35" s="752"/>
      <c r="C35" s="752"/>
      <c r="D35" s="68" t="s">
        <v>26</v>
      </c>
      <c r="E35" s="72">
        <v>0</v>
      </c>
    </row>
    <row r="36" spans="1:5" outlineLevel="1" x14ac:dyDescent="0.25">
      <c r="A36" s="751"/>
      <c r="B36" s="752"/>
      <c r="C36" s="752"/>
      <c r="D36" s="68" t="s">
        <v>27</v>
      </c>
      <c r="E36" s="72">
        <v>0</v>
      </c>
    </row>
    <row r="37" spans="1:5" outlineLevel="1" x14ac:dyDescent="0.25">
      <c r="A37" s="751"/>
      <c r="B37" s="752"/>
      <c r="C37" s="752"/>
      <c r="D37" s="68" t="s">
        <v>28</v>
      </c>
      <c r="E37" s="72">
        <v>0</v>
      </c>
    </row>
    <row r="38" spans="1:5" outlineLevel="1" x14ac:dyDescent="0.25">
      <c r="A38" s="751"/>
      <c r="B38" s="752"/>
      <c r="C38" s="752"/>
      <c r="D38" s="68" t="s">
        <v>29</v>
      </c>
      <c r="E38" s="72">
        <v>0</v>
      </c>
    </row>
    <row r="39" spans="1:5" outlineLevel="1" x14ac:dyDescent="0.25">
      <c r="A39" s="751"/>
      <c r="B39" s="752"/>
      <c r="C39" s="752"/>
      <c r="D39" s="68" t="s">
        <v>30</v>
      </c>
      <c r="E39" s="72">
        <v>0</v>
      </c>
    </row>
    <row r="40" spans="1:5" outlineLevel="1" x14ac:dyDescent="0.25">
      <c r="A40" s="751"/>
      <c r="B40" s="752"/>
      <c r="C40" s="752"/>
      <c r="D40" s="68" t="s">
        <v>31</v>
      </c>
      <c r="E40" s="72">
        <v>0</v>
      </c>
    </row>
    <row r="41" spans="1:5" outlineLevel="1" x14ac:dyDescent="0.25">
      <c r="A41" s="751"/>
      <c r="B41" s="752"/>
      <c r="C41" s="752"/>
      <c r="D41" s="68" t="s">
        <v>32</v>
      </c>
      <c r="E41" s="72">
        <v>0</v>
      </c>
    </row>
    <row r="42" spans="1:5" outlineLevel="1" x14ac:dyDescent="0.25">
      <c r="A42" s="751"/>
      <c r="B42" s="752"/>
      <c r="C42" s="752"/>
      <c r="D42" s="68" t="s">
        <v>33</v>
      </c>
      <c r="E42" s="72">
        <v>0</v>
      </c>
    </row>
    <row r="43" spans="1:5" ht="15.75" outlineLevel="1" thickBot="1" x14ac:dyDescent="0.3">
      <c r="A43" s="751"/>
      <c r="B43" s="752"/>
      <c r="C43" s="752"/>
      <c r="D43" s="69" t="s">
        <v>34</v>
      </c>
      <c r="E43" s="73">
        <v>0</v>
      </c>
    </row>
    <row r="44" spans="1:5" outlineLevel="1" x14ac:dyDescent="0.25">
      <c r="A44" s="751" t="s">
        <v>92</v>
      </c>
      <c r="B44" s="752" t="s">
        <v>78</v>
      </c>
      <c r="C44" s="752">
        <v>637001</v>
      </c>
      <c r="D44" s="67" t="s">
        <v>25</v>
      </c>
      <c r="E44" s="72">
        <v>0</v>
      </c>
    </row>
    <row r="45" spans="1:5" outlineLevel="1" x14ac:dyDescent="0.25">
      <c r="A45" s="751"/>
      <c r="B45" s="752"/>
      <c r="C45" s="752"/>
      <c r="D45" s="68" t="s">
        <v>26</v>
      </c>
      <c r="E45" s="72">
        <v>0</v>
      </c>
    </row>
    <row r="46" spans="1:5" outlineLevel="1" x14ac:dyDescent="0.25">
      <c r="A46" s="751"/>
      <c r="B46" s="752"/>
      <c r="C46" s="752"/>
      <c r="D46" s="68" t="s">
        <v>27</v>
      </c>
      <c r="E46" s="72">
        <v>0</v>
      </c>
    </row>
    <row r="47" spans="1:5" outlineLevel="1" x14ac:dyDescent="0.25">
      <c r="A47" s="751"/>
      <c r="B47" s="752"/>
      <c r="C47" s="752"/>
      <c r="D47" s="68" t="s">
        <v>28</v>
      </c>
      <c r="E47" s="72">
        <v>0</v>
      </c>
    </row>
    <row r="48" spans="1:5" outlineLevel="1" x14ac:dyDescent="0.25">
      <c r="A48" s="751"/>
      <c r="B48" s="752"/>
      <c r="C48" s="752"/>
      <c r="D48" s="68" t="s">
        <v>29</v>
      </c>
      <c r="E48" s="72">
        <v>0</v>
      </c>
    </row>
    <row r="49" spans="1:5" outlineLevel="1" x14ac:dyDescent="0.25">
      <c r="A49" s="751"/>
      <c r="B49" s="752"/>
      <c r="C49" s="752"/>
      <c r="D49" s="68" t="s">
        <v>30</v>
      </c>
      <c r="E49" s="72">
        <v>0</v>
      </c>
    </row>
    <row r="50" spans="1:5" outlineLevel="1" x14ac:dyDescent="0.25">
      <c r="A50" s="751"/>
      <c r="B50" s="752"/>
      <c r="C50" s="752"/>
      <c r="D50" s="68" t="s">
        <v>31</v>
      </c>
      <c r="E50" s="72">
        <v>0</v>
      </c>
    </row>
    <row r="51" spans="1:5" outlineLevel="1" x14ac:dyDescent="0.25">
      <c r="A51" s="751"/>
      <c r="B51" s="752"/>
      <c r="C51" s="752"/>
      <c r="D51" s="68" t="s">
        <v>32</v>
      </c>
      <c r="E51" s="72">
        <v>0</v>
      </c>
    </row>
    <row r="52" spans="1:5" outlineLevel="1" x14ac:dyDescent="0.25">
      <c r="A52" s="751"/>
      <c r="B52" s="752"/>
      <c r="C52" s="752"/>
      <c r="D52" s="68" t="s">
        <v>33</v>
      </c>
      <c r="E52" s="72">
        <v>0</v>
      </c>
    </row>
    <row r="53" spans="1:5" ht="15.75" outlineLevel="1" thickBot="1" x14ac:dyDescent="0.3">
      <c r="A53" s="751"/>
      <c r="B53" s="752"/>
      <c r="C53" s="752"/>
      <c r="D53" s="69" t="s">
        <v>34</v>
      </c>
      <c r="E53" s="73">
        <v>0</v>
      </c>
    </row>
  </sheetData>
  <mergeCells count="17">
    <mergeCell ref="A34:A43"/>
    <mergeCell ref="B34:B43"/>
    <mergeCell ref="C34:C43"/>
    <mergeCell ref="A44:A53"/>
    <mergeCell ref="B44:B53"/>
    <mergeCell ref="C44:C53"/>
    <mergeCell ref="A14:A23"/>
    <mergeCell ref="B14:B23"/>
    <mergeCell ref="C14:C23"/>
    <mergeCell ref="A24:A33"/>
    <mergeCell ref="B24:B33"/>
    <mergeCell ref="C24:C33"/>
    <mergeCell ref="A1:D1"/>
    <mergeCell ref="A3:C3"/>
    <mergeCell ref="A4:A13"/>
    <mergeCell ref="B4:B13"/>
    <mergeCell ref="C4:C13"/>
  </mergeCells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CC"/>
    <outlinePr summaryBelow="0" summaryRight="0"/>
  </sheetPr>
  <dimension ref="A1:M170"/>
  <sheetViews>
    <sheetView tabSelected="1" view="pageBreakPreview" zoomScale="85" zoomScaleNormal="85" zoomScaleSheetLayoutView="85" workbookViewId="0">
      <selection activeCell="K1" sqref="K1"/>
    </sheetView>
  </sheetViews>
  <sheetFormatPr defaultColWidth="8.85546875" defaultRowHeight="15" outlineLevelRow="2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12" width="19.28515625" customWidth="1" outlineLevel="1"/>
    <col min="13" max="13" width="22.140625" customWidth="1" outlineLevel="1"/>
  </cols>
  <sheetData>
    <row r="1" spans="1:13" ht="60" customHeight="1" thickBot="1" x14ac:dyDescent="0.4">
      <c r="A1" s="747" t="s">
        <v>99</v>
      </c>
      <c r="B1" s="747"/>
      <c r="C1" s="747"/>
      <c r="D1" s="748"/>
      <c r="E1" s="70" t="s">
        <v>35</v>
      </c>
      <c r="F1" s="335" t="s">
        <v>392</v>
      </c>
      <c r="G1" s="335" t="s">
        <v>393</v>
      </c>
      <c r="H1" s="335" t="s">
        <v>395</v>
      </c>
      <c r="I1" s="335" t="s">
        <v>394</v>
      </c>
      <c r="J1" s="335" t="s">
        <v>396</v>
      </c>
      <c r="K1" s="335" t="s">
        <v>397</v>
      </c>
      <c r="L1" s="335" t="s">
        <v>398</v>
      </c>
      <c r="M1" s="335" t="s">
        <v>362</v>
      </c>
    </row>
    <row r="2" spans="1:13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  <c r="G2" s="17"/>
      <c r="H2" s="17"/>
      <c r="I2" s="17"/>
      <c r="J2" s="17"/>
      <c r="K2" s="17"/>
      <c r="L2" s="17"/>
      <c r="M2" s="17"/>
    </row>
    <row r="3" spans="1:13" ht="15.75" thickBot="1" x14ac:dyDescent="0.3">
      <c r="A3" s="754" t="s">
        <v>119</v>
      </c>
      <c r="B3" s="755"/>
      <c r="C3" s="755"/>
      <c r="D3" s="80"/>
      <c r="E3" s="77">
        <f t="shared" ref="E3:M3" si="0">E4+E25</f>
        <v>106589.76000000001</v>
      </c>
      <c r="F3" s="78">
        <f t="shared" si="0"/>
        <v>66000</v>
      </c>
      <c r="G3" s="290">
        <f t="shared" si="0"/>
        <v>1200</v>
      </c>
      <c r="H3" s="290">
        <f t="shared" si="0"/>
        <v>1200</v>
      </c>
      <c r="I3" s="290">
        <f t="shared" si="0"/>
        <v>1200</v>
      </c>
      <c r="J3" s="290">
        <f t="shared" si="0"/>
        <v>3000</v>
      </c>
      <c r="K3" s="290">
        <f t="shared" si="0"/>
        <v>33989.760000000002</v>
      </c>
      <c r="L3" s="290">
        <f t="shared" si="0"/>
        <v>0</v>
      </c>
      <c r="M3" s="290">
        <f t="shared" si="0"/>
        <v>0</v>
      </c>
    </row>
    <row r="4" spans="1:13" ht="15.75" outlineLevel="1" thickBot="1" x14ac:dyDescent="0.3">
      <c r="A4" s="17" t="s">
        <v>106</v>
      </c>
      <c r="B4" s="17"/>
      <c r="C4" s="17"/>
      <c r="D4" s="28"/>
      <c r="E4" s="77">
        <f t="shared" ref="E4:M4" si="1">SUM(E5:E24)</f>
        <v>106589.76000000001</v>
      </c>
      <c r="F4" s="78">
        <f t="shared" si="1"/>
        <v>66000</v>
      </c>
      <c r="G4" s="290">
        <f t="shared" si="1"/>
        <v>1200</v>
      </c>
      <c r="H4" s="290">
        <f t="shared" si="1"/>
        <v>1200</v>
      </c>
      <c r="I4" s="290">
        <f t="shared" si="1"/>
        <v>1200</v>
      </c>
      <c r="J4" s="290">
        <f t="shared" si="1"/>
        <v>3000</v>
      </c>
      <c r="K4" s="290">
        <f t="shared" si="1"/>
        <v>33989.760000000002</v>
      </c>
      <c r="L4" s="290">
        <f t="shared" si="1"/>
        <v>0</v>
      </c>
      <c r="M4" s="79">
        <f t="shared" si="1"/>
        <v>0</v>
      </c>
    </row>
    <row r="5" spans="1:13" outlineLevel="2" x14ac:dyDescent="0.25">
      <c r="A5" s="751" t="s">
        <v>72</v>
      </c>
      <c r="B5" s="752" t="s">
        <v>73</v>
      </c>
      <c r="C5" s="752">
        <v>711003</v>
      </c>
      <c r="D5" s="67" t="s">
        <v>25</v>
      </c>
      <c r="E5" s="64">
        <f t="shared" ref="E5:E24" si="2">SUM(F5:M5)</f>
        <v>0</v>
      </c>
      <c r="F5" s="125">
        <v>0</v>
      </c>
      <c r="G5" s="291">
        <v>0</v>
      </c>
      <c r="H5" s="291"/>
      <c r="I5" s="291">
        <v>0</v>
      </c>
      <c r="J5" s="291"/>
      <c r="K5" s="291"/>
      <c r="L5" s="291"/>
      <c r="M5" s="128">
        <v>0</v>
      </c>
    </row>
    <row r="6" spans="1:13" outlineLevel="2" x14ac:dyDescent="0.25">
      <c r="A6" s="751"/>
      <c r="B6" s="752"/>
      <c r="C6" s="752"/>
      <c r="D6" s="68" t="s">
        <v>26</v>
      </c>
      <c r="E6" s="65">
        <f t="shared" si="2"/>
        <v>106589.76000000001</v>
      </c>
      <c r="F6" s="126">
        <v>66000</v>
      </c>
      <c r="G6" s="292">
        <v>1200</v>
      </c>
      <c r="H6" s="292">
        <v>1200</v>
      </c>
      <c r="I6" s="292">
        <v>1200</v>
      </c>
      <c r="J6" s="292">
        <v>3000</v>
      </c>
      <c r="K6" s="292">
        <v>33989.760000000002</v>
      </c>
      <c r="L6" s="292">
        <v>0</v>
      </c>
      <c r="M6" s="129">
        <v>0</v>
      </c>
    </row>
    <row r="7" spans="1:13" outlineLevel="2" x14ac:dyDescent="0.25">
      <c r="A7" s="751"/>
      <c r="B7" s="752"/>
      <c r="C7" s="752"/>
      <c r="D7" s="68" t="s">
        <v>27</v>
      </c>
      <c r="E7" s="65">
        <f t="shared" si="2"/>
        <v>0</v>
      </c>
      <c r="F7" s="126">
        <v>0</v>
      </c>
      <c r="G7" s="292">
        <v>0</v>
      </c>
      <c r="H7" s="292"/>
      <c r="I7" s="292">
        <v>0</v>
      </c>
      <c r="J7" s="292"/>
      <c r="K7" s="292"/>
      <c r="L7" s="292"/>
      <c r="M7" s="129">
        <v>0</v>
      </c>
    </row>
    <row r="8" spans="1:13" outlineLevel="2" x14ac:dyDescent="0.25">
      <c r="A8" s="751"/>
      <c r="B8" s="752"/>
      <c r="C8" s="752"/>
      <c r="D8" s="68" t="s">
        <v>28</v>
      </c>
      <c r="E8" s="65">
        <f t="shared" si="2"/>
        <v>0</v>
      </c>
      <c r="F8" s="126">
        <v>0</v>
      </c>
      <c r="G8" s="292">
        <v>0</v>
      </c>
      <c r="H8" s="292"/>
      <c r="I8" s="292">
        <v>0</v>
      </c>
      <c r="J8" s="292"/>
      <c r="K8" s="292"/>
      <c r="L8" s="292"/>
      <c r="M8" s="129">
        <v>0</v>
      </c>
    </row>
    <row r="9" spans="1:13" outlineLevel="2" x14ac:dyDescent="0.25">
      <c r="A9" s="751"/>
      <c r="B9" s="752"/>
      <c r="C9" s="752"/>
      <c r="D9" s="68" t="s">
        <v>29</v>
      </c>
      <c r="E9" s="65">
        <f t="shared" si="2"/>
        <v>0</v>
      </c>
      <c r="F9" s="126">
        <v>0</v>
      </c>
      <c r="G9" s="292">
        <v>0</v>
      </c>
      <c r="H9" s="292"/>
      <c r="I9" s="292">
        <v>0</v>
      </c>
      <c r="J9" s="292"/>
      <c r="K9" s="292"/>
      <c r="L9" s="292"/>
      <c r="M9" s="129">
        <v>0</v>
      </c>
    </row>
    <row r="10" spans="1:13" outlineLevel="2" x14ac:dyDescent="0.25">
      <c r="A10" s="751"/>
      <c r="B10" s="752"/>
      <c r="C10" s="752"/>
      <c r="D10" s="68" t="s">
        <v>30</v>
      </c>
      <c r="E10" s="65">
        <f t="shared" si="2"/>
        <v>0</v>
      </c>
      <c r="F10" s="126">
        <v>0</v>
      </c>
      <c r="G10" s="292">
        <v>0</v>
      </c>
      <c r="H10" s="292"/>
      <c r="I10" s="292">
        <v>0</v>
      </c>
      <c r="J10" s="292"/>
      <c r="K10" s="292"/>
      <c r="L10" s="292"/>
      <c r="M10" s="129">
        <v>0</v>
      </c>
    </row>
    <row r="11" spans="1:13" outlineLevel="2" x14ac:dyDescent="0.25">
      <c r="A11" s="751"/>
      <c r="B11" s="752"/>
      <c r="C11" s="752"/>
      <c r="D11" s="68" t="s">
        <v>31</v>
      </c>
      <c r="E11" s="65">
        <f t="shared" si="2"/>
        <v>0</v>
      </c>
      <c r="F11" s="126">
        <v>0</v>
      </c>
      <c r="G11" s="292">
        <v>0</v>
      </c>
      <c r="H11" s="292"/>
      <c r="I11" s="292">
        <v>0</v>
      </c>
      <c r="J11" s="292"/>
      <c r="K11" s="292"/>
      <c r="L11" s="292"/>
      <c r="M11" s="129">
        <v>0</v>
      </c>
    </row>
    <row r="12" spans="1:13" outlineLevel="2" x14ac:dyDescent="0.25">
      <c r="A12" s="751"/>
      <c r="B12" s="752"/>
      <c r="C12" s="752"/>
      <c r="D12" s="68" t="s">
        <v>32</v>
      </c>
      <c r="E12" s="65">
        <f t="shared" si="2"/>
        <v>0</v>
      </c>
      <c r="F12" s="126">
        <v>0</v>
      </c>
      <c r="G12" s="292">
        <v>0</v>
      </c>
      <c r="H12" s="292"/>
      <c r="I12" s="292">
        <v>0</v>
      </c>
      <c r="J12" s="292"/>
      <c r="K12" s="292"/>
      <c r="L12" s="292"/>
      <c r="M12" s="129">
        <v>0</v>
      </c>
    </row>
    <row r="13" spans="1:13" outlineLevel="2" x14ac:dyDescent="0.25">
      <c r="A13" s="751"/>
      <c r="B13" s="752"/>
      <c r="C13" s="752"/>
      <c r="D13" s="68" t="s">
        <v>33</v>
      </c>
      <c r="E13" s="65">
        <f t="shared" si="2"/>
        <v>0</v>
      </c>
      <c r="F13" s="126">
        <v>0</v>
      </c>
      <c r="G13" s="292">
        <v>0</v>
      </c>
      <c r="H13" s="292"/>
      <c r="I13" s="292">
        <v>0</v>
      </c>
      <c r="J13" s="292"/>
      <c r="K13" s="292"/>
      <c r="L13" s="292"/>
      <c r="M13" s="129">
        <v>0</v>
      </c>
    </row>
    <row r="14" spans="1:13" ht="15.75" outlineLevel="2" thickBot="1" x14ac:dyDescent="0.3">
      <c r="A14" s="751"/>
      <c r="B14" s="752"/>
      <c r="C14" s="752"/>
      <c r="D14" s="69" t="s">
        <v>34</v>
      </c>
      <c r="E14" s="65">
        <f t="shared" si="2"/>
        <v>0</v>
      </c>
      <c r="F14" s="127">
        <v>0</v>
      </c>
      <c r="G14" s="293">
        <v>0</v>
      </c>
      <c r="H14" s="293"/>
      <c r="I14" s="293">
        <v>0</v>
      </c>
      <c r="J14" s="293"/>
      <c r="K14" s="293"/>
      <c r="L14" s="293"/>
      <c r="M14" s="130">
        <v>0</v>
      </c>
    </row>
    <row r="15" spans="1:13" outlineLevel="2" x14ac:dyDescent="0.25">
      <c r="A15" s="751" t="s">
        <v>72</v>
      </c>
      <c r="B15" s="752" t="s">
        <v>78</v>
      </c>
      <c r="C15" s="752">
        <v>633013</v>
      </c>
      <c r="D15" s="67" t="s">
        <v>25</v>
      </c>
      <c r="E15" s="64">
        <f t="shared" si="2"/>
        <v>0</v>
      </c>
      <c r="F15" s="125">
        <v>0</v>
      </c>
      <c r="G15" s="291">
        <v>0</v>
      </c>
      <c r="H15" s="291"/>
      <c r="I15" s="291">
        <v>0</v>
      </c>
      <c r="J15" s="291"/>
      <c r="K15" s="291"/>
      <c r="L15" s="291"/>
      <c r="M15" s="128">
        <v>0</v>
      </c>
    </row>
    <row r="16" spans="1:13" outlineLevel="2" x14ac:dyDescent="0.25">
      <c r="A16" s="751"/>
      <c r="B16" s="752"/>
      <c r="C16" s="752"/>
      <c r="D16" s="68" t="s">
        <v>26</v>
      </c>
      <c r="E16" s="65">
        <f t="shared" si="2"/>
        <v>0</v>
      </c>
      <c r="F16" s="126">
        <v>0</v>
      </c>
      <c r="G16" s="292">
        <v>0</v>
      </c>
      <c r="H16" s="292"/>
      <c r="I16" s="292">
        <v>0</v>
      </c>
      <c r="J16" s="292"/>
      <c r="K16" s="292"/>
      <c r="L16" s="292"/>
      <c r="M16" s="129">
        <v>0</v>
      </c>
    </row>
    <row r="17" spans="1:13" outlineLevel="2" x14ac:dyDescent="0.25">
      <c r="A17" s="751"/>
      <c r="B17" s="752"/>
      <c r="C17" s="752"/>
      <c r="D17" s="68" t="s">
        <v>27</v>
      </c>
      <c r="E17" s="65">
        <f t="shared" si="2"/>
        <v>0</v>
      </c>
      <c r="F17" s="126">
        <v>0</v>
      </c>
      <c r="G17" s="292">
        <v>0</v>
      </c>
      <c r="H17" s="292"/>
      <c r="I17" s="292">
        <v>0</v>
      </c>
      <c r="J17" s="292"/>
      <c r="K17" s="292"/>
      <c r="L17" s="292"/>
      <c r="M17" s="129">
        <v>0</v>
      </c>
    </row>
    <row r="18" spans="1:13" outlineLevel="2" x14ac:dyDescent="0.25">
      <c r="A18" s="751"/>
      <c r="B18" s="752"/>
      <c r="C18" s="752"/>
      <c r="D18" s="68" t="s">
        <v>28</v>
      </c>
      <c r="E18" s="65">
        <f t="shared" si="2"/>
        <v>0</v>
      </c>
      <c r="F18" s="126">
        <v>0</v>
      </c>
      <c r="G18" s="292">
        <v>0</v>
      </c>
      <c r="H18" s="292"/>
      <c r="I18" s="292">
        <v>0</v>
      </c>
      <c r="J18" s="292"/>
      <c r="K18" s="292"/>
      <c r="L18" s="292"/>
      <c r="M18" s="129">
        <v>0</v>
      </c>
    </row>
    <row r="19" spans="1:13" outlineLevel="2" x14ac:dyDescent="0.25">
      <c r="A19" s="751"/>
      <c r="B19" s="752"/>
      <c r="C19" s="752"/>
      <c r="D19" s="68" t="s">
        <v>29</v>
      </c>
      <c r="E19" s="65">
        <f t="shared" si="2"/>
        <v>0</v>
      </c>
      <c r="F19" s="126">
        <v>0</v>
      </c>
      <c r="G19" s="292">
        <v>0</v>
      </c>
      <c r="H19" s="292"/>
      <c r="I19" s="292">
        <v>0</v>
      </c>
      <c r="J19" s="292"/>
      <c r="K19" s="292"/>
      <c r="L19" s="292"/>
      <c r="M19" s="129">
        <v>0</v>
      </c>
    </row>
    <row r="20" spans="1:13" outlineLevel="2" x14ac:dyDescent="0.25">
      <c r="A20" s="751"/>
      <c r="B20" s="752"/>
      <c r="C20" s="752"/>
      <c r="D20" s="68" t="s">
        <v>30</v>
      </c>
      <c r="E20" s="65">
        <f t="shared" si="2"/>
        <v>0</v>
      </c>
      <c r="F20" s="126">
        <v>0</v>
      </c>
      <c r="G20" s="292">
        <v>0</v>
      </c>
      <c r="H20" s="292"/>
      <c r="I20" s="292">
        <v>0</v>
      </c>
      <c r="J20" s="292"/>
      <c r="K20" s="292"/>
      <c r="L20" s="292"/>
      <c r="M20" s="129">
        <v>0</v>
      </c>
    </row>
    <row r="21" spans="1:13" outlineLevel="2" x14ac:dyDescent="0.25">
      <c r="A21" s="751"/>
      <c r="B21" s="752"/>
      <c r="C21" s="752"/>
      <c r="D21" s="68" t="s">
        <v>31</v>
      </c>
      <c r="E21" s="65">
        <f t="shared" si="2"/>
        <v>0</v>
      </c>
      <c r="F21" s="126">
        <v>0</v>
      </c>
      <c r="G21" s="292">
        <v>0</v>
      </c>
      <c r="H21" s="292"/>
      <c r="I21" s="292">
        <v>0</v>
      </c>
      <c r="J21" s="292"/>
      <c r="K21" s="292"/>
      <c r="L21" s="292"/>
      <c r="M21" s="129">
        <v>0</v>
      </c>
    </row>
    <row r="22" spans="1:13" outlineLevel="2" x14ac:dyDescent="0.25">
      <c r="A22" s="751"/>
      <c r="B22" s="752"/>
      <c r="C22" s="752"/>
      <c r="D22" s="68" t="s">
        <v>32</v>
      </c>
      <c r="E22" s="65">
        <f t="shared" si="2"/>
        <v>0</v>
      </c>
      <c r="F22" s="126">
        <v>0</v>
      </c>
      <c r="G22" s="292">
        <v>0</v>
      </c>
      <c r="H22" s="292"/>
      <c r="I22" s="292">
        <v>0</v>
      </c>
      <c r="J22" s="292"/>
      <c r="K22" s="292"/>
      <c r="L22" s="292"/>
      <c r="M22" s="129">
        <v>0</v>
      </c>
    </row>
    <row r="23" spans="1:13" outlineLevel="2" x14ac:dyDescent="0.25">
      <c r="A23" s="751"/>
      <c r="B23" s="752"/>
      <c r="C23" s="752"/>
      <c r="D23" s="68" t="s">
        <v>33</v>
      </c>
      <c r="E23" s="65">
        <f t="shared" si="2"/>
        <v>0</v>
      </c>
      <c r="F23" s="126">
        <v>0</v>
      </c>
      <c r="G23" s="292">
        <v>0</v>
      </c>
      <c r="H23" s="292"/>
      <c r="I23" s="292">
        <v>0</v>
      </c>
      <c r="J23" s="292"/>
      <c r="K23" s="292"/>
      <c r="L23" s="292"/>
      <c r="M23" s="129">
        <v>0</v>
      </c>
    </row>
    <row r="24" spans="1:13" ht="15.75" outlineLevel="2" thickBot="1" x14ac:dyDescent="0.3">
      <c r="A24" s="751"/>
      <c r="B24" s="752"/>
      <c r="C24" s="752"/>
      <c r="D24" s="69" t="s">
        <v>34</v>
      </c>
      <c r="E24" s="66">
        <f t="shared" si="2"/>
        <v>0</v>
      </c>
      <c r="F24" s="127">
        <v>0</v>
      </c>
      <c r="G24" s="293">
        <v>0</v>
      </c>
      <c r="H24" s="293"/>
      <c r="I24" s="293">
        <v>0</v>
      </c>
      <c r="J24" s="293"/>
      <c r="K24" s="293"/>
      <c r="L24" s="293"/>
      <c r="M24" s="130">
        <v>0</v>
      </c>
    </row>
    <row r="25" spans="1:13" ht="15.75" outlineLevel="1" thickBot="1" x14ac:dyDescent="0.3">
      <c r="A25" s="17" t="s">
        <v>107</v>
      </c>
      <c r="B25" s="17"/>
      <c r="C25" s="17"/>
      <c r="D25" s="28"/>
      <c r="E25" s="135">
        <f t="shared" ref="E25:M25" si="3">SUM(E26:E55)</f>
        <v>0</v>
      </c>
      <c r="F25" s="136">
        <f t="shared" si="3"/>
        <v>0</v>
      </c>
      <c r="G25" s="294">
        <f t="shared" si="3"/>
        <v>0</v>
      </c>
      <c r="H25" s="294">
        <f t="shared" si="3"/>
        <v>0</v>
      </c>
      <c r="I25" s="294">
        <f t="shared" si="3"/>
        <v>0</v>
      </c>
      <c r="J25" s="294">
        <f t="shared" si="3"/>
        <v>0</v>
      </c>
      <c r="K25" s="294">
        <f t="shared" si="3"/>
        <v>0</v>
      </c>
      <c r="L25" s="294">
        <f t="shared" si="3"/>
        <v>0</v>
      </c>
      <c r="M25" s="294">
        <f t="shared" si="3"/>
        <v>0</v>
      </c>
    </row>
    <row r="26" spans="1:13" outlineLevel="2" x14ac:dyDescent="0.25">
      <c r="A26" s="751" t="s">
        <v>76</v>
      </c>
      <c r="B26" s="752" t="s">
        <v>73</v>
      </c>
      <c r="C26" s="752">
        <v>711003</v>
      </c>
      <c r="D26" s="67" t="s">
        <v>25</v>
      </c>
      <c r="E26" s="71">
        <f t="shared" ref="E26:E55" si="4">SUM(F26:M26)</f>
        <v>0</v>
      </c>
      <c r="F26" s="119">
        <v>0</v>
      </c>
      <c r="G26" s="295">
        <v>0</v>
      </c>
      <c r="H26" s="295"/>
      <c r="I26" s="295">
        <v>0</v>
      </c>
      <c r="J26" s="295"/>
      <c r="K26" s="295"/>
      <c r="L26" s="295"/>
      <c r="M26" s="120">
        <v>0</v>
      </c>
    </row>
    <row r="27" spans="1:13" outlineLevel="2" x14ac:dyDescent="0.25">
      <c r="A27" s="751"/>
      <c r="B27" s="752"/>
      <c r="C27" s="752"/>
      <c r="D27" s="68" t="s">
        <v>26</v>
      </c>
      <c r="E27" s="72">
        <f t="shared" si="4"/>
        <v>0</v>
      </c>
      <c r="F27" s="121">
        <v>0</v>
      </c>
      <c r="G27" s="296">
        <v>0</v>
      </c>
      <c r="H27" s="296"/>
      <c r="I27" s="296">
        <v>0</v>
      </c>
      <c r="J27" s="296"/>
      <c r="K27" s="296"/>
      <c r="L27" s="296"/>
      <c r="M27" s="122">
        <v>0</v>
      </c>
    </row>
    <row r="28" spans="1:13" outlineLevel="2" x14ac:dyDescent="0.25">
      <c r="A28" s="751"/>
      <c r="B28" s="752"/>
      <c r="C28" s="752"/>
      <c r="D28" s="68" t="s">
        <v>27</v>
      </c>
      <c r="E28" s="72">
        <f t="shared" si="4"/>
        <v>0</v>
      </c>
      <c r="F28" s="121">
        <v>0</v>
      </c>
      <c r="G28" s="296">
        <v>0</v>
      </c>
      <c r="H28" s="296"/>
      <c r="I28" s="296">
        <v>0</v>
      </c>
      <c r="J28" s="296"/>
      <c r="K28" s="296"/>
      <c r="L28" s="296"/>
      <c r="M28" s="122">
        <v>0</v>
      </c>
    </row>
    <row r="29" spans="1:13" outlineLevel="2" x14ac:dyDescent="0.25">
      <c r="A29" s="751"/>
      <c r="B29" s="752"/>
      <c r="C29" s="752"/>
      <c r="D29" s="68" t="s">
        <v>28</v>
      </c>
      <c r="E29" s="72">
        <f t="shared" si="4"/>
        <v>0</v>
      </c>
      <c r="F29" s="121">
        <v>0</v>
      </c>
      <c r="G29" s="296">
        <v>0</v>
      </c>
      <c r="H29" s="296"/>
      <c r="I29" s="296">
        <v>0</v>
      </c>
      <c r="J29" s="296"/>
      <c r="K29" s="296"/>
      <c r="L29" s="296"/>
      <c r="M29" s="122">
        <v>0</v>
      </c>
    </row>
    <row r="30" spans="1:13" outlineLevel="2" x14ac:dyDescent="0.25">
      <c r="A30" s="751"/>
      <c r="B30" s="752"/>
      <c r="C30" s="752"/>
      <c r="D30" s="68" t="s">
        <v>29</v>
      </c>
      <c r="E30" s="72">
        <f t="shared" si="4"/>
        <v>0</v>
      </c>
      <c r="F30" s="121">
        <v>0</v>
      </c>
      <c r="G30" s="296">
        <v>0</v>
      </c>
      <c r="H30" s="296"/>
      <c r="I30" s="296">
        <v>0</v>
      </c>
      <c r="J30" s="296"/>
      <c r="K30" s="296"/>
      <c r="L30" s="296"/>
      <c r="M30" s="122">
        <v>0</v>
      </c>
    </row>
    <row r="31" spans="1:13" outlineLevel="2" x14ac:dyDescent="0.25">
      <c r="A31" s="751"/>
      <c r="B31" s="752"/>
      <c r="C31" s="752"/>
      <c r="D31" s="68" t="s">
        <v>30</v>
      </c>
      <c r="E31" s="72">
        <f t="shared" si="4"/>
        <v>0</v>
      </c>
      <c r="F31" s="121">
        <v>0</v>
      </c>
      <c r="G31" s="296">
        <v>0</v>
      </c>
      <c r="H31" s="296"/>
      <c r="I31" s="296">
        <v>0</v>
      </c>
      <c r="J31" s="296"/>
      <c r="K31" s="296"/>
      <c r="L31" s="296"/>
      <c r="M31" s="122">
        <v>0</v>
      </c>
    </row>
    <row r="32" spans="1:13" outlineLevel="2" x14ac:dyDescent="0.25">
      <c r="A32" s="751"/>
      <c r="B32" s="752"/>
      <c r="C32" s="752"/>
      <c r="D32" s="68" t="s">
        <v>31</v>
      </c>
      <c r="E32" s="72">
        <f t="shared" si="4"/>
        <v>0</v>
      </c>
      <c r="F32" s="121">
        <v>0</v>
      </c>
      <c r="G32" s="296">
        <v>0</v>
      </c>
      <c r="H32" s="296"/>
      <c r="I32" s="296">
        <v>0</v>
      </c>
      <c r="J32" s="296"/>
      <c r="K32" s="296"/>
      <c r="L32" s="296"/>
      <c r="M32" s="122">
        <v>0</v>
      </c>
    </row>
    <row r="33" spans="1:13" outlineLevel="2" x14ac:dyDescent="0.25">
      <c r="A33" s="751"/>
      <c r="B33" s="752"/>
      <c r="C33" s="752"/>
      <c r="D33" s="68" t="s">
        <v>32</v>
      </c>
      <c r="E33" s="72">
        <f t="shared" si="4"/>
        <v>0</v>
      </c>
      <c r="F33" s="121">
        <v>0</v>
      </c>
      <c r="G33" s="296">
        <v>0</v>
      </c>
      <c r="H33" s="296"/>
      <c r="I33" s="296">
        <v>0</v>
      </c>
      <c r="J33" s="296"/>
      <c r="K33" s="296"/>
      <c r="L33" s="296"/>
      <c r="M33" s="122">
        <v>0</v>
      </c>
    </row>
    <row r="34" spans="1:13" outlineLevel="2" x14ac:dyDescent="0.25">
      <c r="A34" s="751"/>
      <c r="B34" s="752"/>
      <c r="C34" s="752"/>
      <c r="D34" s="68" t="s">
        <v>33</v>
      </c>
      <c r="E34" s="72">
        <f t="shared" si="4"/>
        <v>0</v>
      </c>
      <c r="F34" s="121">
        <v>0</v>
      </c>
      <c r="G34" s="296">
        <v>0</v>
      </c>
      <c r="H34" s="296"/>
      <c r="I34" s="296">
        <v>0</v>
      </c>
      <c r="J34" s="296"/>
      <c r="K34" s="296"/>
      <c r="L34" s="296"/>
      <c r="M34" s="122">
        <v>0</v>
      </c>
    </row>
    <row r="35" spans="1:13" ht="15.75" outlineLevel="2" thickBot="1" x14ac:dyDescent="0.3">
      <c r="A35" s="751"/>
      <c r="B35" s="752"/>
      <c r="C35" s="752"/>
      <c r="D35" s="69" t="s">
        <v>34</v>
      </c>
      <c r="E35" s="73">
        <f t="shared" si="4"/>
        <v>0</v>
      </c>
      <c r="F35" s="123">
        <v>0</v>
      </c>
      <c r="G35" s="297">
        <v>0</v>
      </c>
      <c r="H35" s="297"/>
      <c r="I35" s="297">
        <v>0</v>
      </c>
      <c r="J35" s="297"/>
      <c r="K35" s="297"/>
      <c r="L35" s="297"/>
      <c r="M35" s="124">
        <v>0</v>
      </c>
    </row>
    <row r="36" spans="1:13" outlineLevel="2" x14ac:dyDescent="0.25">
      <c r="A36" s="751" t="s">
        <v>76</v>
      </c>
      <c r="B36" s="752" t="s">
        <v>78</v>
      </c>
      <c r="C36" s="752">
        <v>633013</v>
      </c>
      <c r="D36" s="67" t="s">
        <v>25</v>
      </c>
      <c r="E36" s="72">
        <f t="shared" si="4"/>
        <v>0</v>
      </c>
      <c r="F36" s="119">
        <v>0</v>
      </c>
      <c r="G36" s="295">
        <v>0</v>
      </c>
      <c r="H36" s="295"/>
      <c r="I36" s="295">
        <v>0</v>
      </c>
      <c r="J36" s="295"/>
      <c r="K36" s="295"/>
      <c r="L36" s="295"/>
      <c r="M36" s="120">
        <v>0</v>
      </c>
    </row>
    <row r="37" spans="1:13" outlineLevel="2" x14ac:dyDescent="0.25">
      <c r="A37" s="751"/>
      <c r="B37" s="752"/>
      <c r="C37" s="752"/>
      <c r="D37" s="68" t="s">
        <v>26</v>
      </c>
      <c r="E37" s="72">
        <f t="shared" si="4"/>
        <v>0</v>
      </c>
      <c r="F37" s="121">
        <v>0</v>
      </c>
      <c r="G37" s="296">
        <v>0</v>
      </c>
      <c r="H37" s="296"/>
      <c r="I37" s="296">
        <v>0</v>
      </c>
      <c r="J37" s="296"/>
      <c r="K37" s="296"/>
      <c r="L37" s="296"/>
      <c r="M37" s="122">
        <v>0</v>
      </c>
    </row>
    <row r="38" spans="1:13" outlineLevel="2" x14ac:dyDescent="0.25">
      <c r="A38" s="751"/>
      <c r="B38" s="752"/>
      <c r="C38" s="752"/>
      <c r="D38" s="68" t="s">
        <v>27</v>
      </c>
      <c r="E38" s="72">
        <f t="shared" si="4"/>
        <v>0</v>
      </c>
      <c r="F38" s="121">
        <v>0</v>
      </c>
      <c r="G38" s="296">
        <v>0</v>
      </c>
      <c r="H38" s="296"/>
      <c r="I38" s="296">
        <v>0</v>
      </c>
      <c r="J38" s="296"/>
      <c r="K38" s="296"/>
      <c r="L38" s="296"/>
      <c r="M38" s="122">
        <v>0</v>
      </c>
    </row>
    <row r="39" spans="1:13" outlineLevel="2" x14ac:dyDescent="0.25">
      <c r="A39" s="751"/>
      <c r="B39" s="752"/>
      <c r="C39" s="752"/>
      <c r="D39" s="68" t="s">
        <v>28</v>
      </c>
      <c r="E39" s="72">
        <f t="shared" si="4"/>
        <v>0</v>
      </c>
      <c r="F39" s="121">
        <v>0</v>
      </c>
      <c r="G39" s="296">
        <v>0</v>
      </c>
      <c r="H39" s="296"/>
      <c r="I39" s="296">
        <v>0</v>
      </c>
      <c r="J39" s="296"/>
      <c r="K39" s="296"/>
      <c r="L39" s="296"/>
      <c r="M39" s="122">
        <v>0</v>
      </c>
    </row>
    <row r="40" spans="1:13" outlineLevel="2" x14ac:dyDescent="0.25">
      <c r="A40" s="751"/>
      <c r="B40" s="752"/>
      <c r="C40" s="752"/>
      <c r="D40" s="68" t="s">
        <v>29</v>
      </c>
      <c r="E40" s="72">
        <f t="shared" si="4"/>
        <v>0</v>
      </c>
      <c r="F40" s="121">
        <v>0</v>
      </c>
      <c r="G40" s="296">
        <v>0</v>
      </c>
      <c r="H40" s="296"/>
      <c r="I40" s="296">
        <v>0</v>
      </c>
      <c r="J40" s="296"/>
      <c r="K40" s="296"/>
      <c r="L40" s="296"/>
      <c r="M40" s="122">
        <v>0</v>
      </c>
    </row>
    <row r="41" spans="1:13" outlineLevel="2" x14ac:dyDescent="0.25">
      <c r="A41" s="751"/>
      <c r="B41" s="752"/>
      <c r="C41" s="752"/>
      <c r="D41" s="68" t="s">
        <v>30</v>
      </c>
      <c r="E41" s="72">
        <f t="shared" si="4"/>
        <v>0</v>
      </c>
      <c r="F41" s="121">
        <v>0</v>
      </c>
      <c r="G41" s="296">
        <v>0</v>
      </c>
      <c r="H41" s="296"/>
      <c r="I41" s="296">
        <v>0</v>
      </c>
      <c r="J41" s="296"/>
      <c r="K41" s="296"/>
      <c r="L41" s="296"/>
      <c r="M41" s="122">
        <v>0</v>
      </c>
    </row>
    <row r="42" spans="1:13" outlineLevel="2" x14ac:dyDescent="0.25">
      <c r="A42" s="751"/>
      <c r="B42" s="752"/>
      <c r="C42" s="752"/>
      <c r="D42" s="68" t="s">
        <v>31</v>
      </c>
      <c r="E42" s="72">
        <f t="shared" si="4"/>
        <v>0</v>
      </c>
      <c r="F42" s="121">
        <v>0</v>
      </c>
      <c r="G42" s="296">
        <v>0</v>
      </c>
      <c r="H42" s="296"/>
      <c r="I42" s="296">
        <v>0</v>
      </c>
      <c r="J42" s="296"/>
      <c r="K42" s="296"/>
      <c r="L42" s="296"/>
      <c r="M42" s="122">
        <v>0</v>
      </c>
    </row>
    <row r="43" spans="1:13" outlineLevel="2" x14ac:dyDescent="0.25">
      <c r="A43" s="751"/>
      <c r="B43" s="752"/>
      <c r="C43" s="752"/>
      <c r="D43" s="68" t="s">
        <v>32</v>
      </c>
      <c r="E43" s="72">
        <f t="shared" si="4"/>
        <v>0</v>
      </c>
      <c r="F43" s="121">
        <v>0</v>
      </c>
      <c r="G43" s="296">
        <v>0</v>
      </c>
      <c r="H43" s="296"/>
      <c r="I43" s="296">
        <v>0</v>
      </c>
      <c r="J43" s="296"/>
      <c r="K43" s="296"/>
      <c r="L43" s="296"/>
      <c r="M43" s="122">
        <v>0</v>
      </c>
    </row>
    <row r="44" spans="1:13" outlineLevel="2" x14ac:dyDescent="0.25">
      <c r="A44" s="751"/>
      <c r="B44" s="752"/>
      <c r="C44" s="752"/>
      <c r="D44" s="68" t="s">
        <v>33</v>
      </c>
      <c r="E44" s="72">
        <f t="shared" si="4"/>
        <v>0</v>
      </c>
      <c r="F44" s="121">
        <v>0</v>
      </c>
      <c r="G44" s="296">
        <v>0</v>
      </c>
      <c r="H44" s="296"/>
      <c r="I44" s="296">
        <v>0</v>
      </c>
      <c r="J44" s="296"/>
      <c r="K44" s="296"/>
      <c r="L44" s="296"/>
      <c r="M44" s="122">
        <v>0</v>
      </c>
    </row>
    <row r="45" spans="1:13" ht="15.75" outlineLevel="2" thickBot="1" x14ac:dyDescent="0.3">
      <c r="A45" s="751"/>
      <c r="B45" s="752"/>
      <c r="C45" s="752"/>
      <c r="D45" s="69" t="s">
        <v>34</v>
      </c>
      <c r="E45" s="73">
        <f t="shared" si="4"/>
        <v>0</v>
      </c>
      <c r="F45" s="123">
        <v>0</v>
      </c>
      <c r="G45" s="297">
        <v>0</v>
      </c>
      <c r="H45" s="297"/>
      <c r="I45" s="297">
        <v>0</v>
      </c>
      <c r="J45" s="297"/>
      <c r="K45" s="297"/>
      <c r="L45" s="297"/>
      <c r="M45" s="124">
        <v>0</v>
      </c>
    </row>
    <row r="46" spans="1:13" outlineLevel="2" x14ac:dyDescent="0.25">
      <c r="A46" s="751" t="s">
        <v>77</v>
      </c>
      <c r="B46" s="752" t="s">
        <v>78</v>
      </c>
      <c r="C46" s="752">
        <v>637001</v>
      </c>
      <c r="D46" s="67" t="s">
        <v>25</v>
      </c>
      <c r="E46" s="72">
        <f t="shared" si="4"/>
        <v>0</v>
      </c>
      <c r="F46" s="119">
        <v>0</v>
      </c>
      <c r="G46" s="295">
        <v>0</v>
      </c>
      <c r="H46" s="295"/>
      <c r="I46" s="295">
        <v>0</v>
      </c>
      <c r="J46" s="295"/>
      <c r="K46" s="295"/>
      <c r="L46" s="295"/>
      <c r="M46" s="120">
        <v>0</v>
      </c>
    </row>
    <row r="47" spans="1:13" outlineLevel="2" x14ac:dyDescent="0.25">
      <c r="A47" s="751"/>
      <c r="B47" s="752"/>
      <c r="C47" s="752"/>
      <c r="D47" s="68" t="s">
        <v>26</v>
      </c>
      <c r="E47" s="72">
        <f t="shared" si="4"/>
        <v>0</v>
      </c>
      <c r="F47" s="121">
        <v>0</v>
      </c>
      <c r="G47" s="296">
        <v>0</v>
      </c>
      <c r="H47" s="296"/>
      <c r="I47" s="296">
        <v>0</v>
      </c>
      <c r="J47" s="296"/>
      <c r="K47" s="296"/>
      <c r="L47" s="296"/>
      <c r="M47" s="122">
        <v>0</v>
      </c>
    </row>
    <row r="48" spans="1:13" outlineLevel="2" x14ac:dyDescent="0.25">
      <c r="A48" s="751"/>
      <c r="B48" s="752"/>
      <c r="C48" s="752"/>
      <c r="D48" s="68" t="s">
        <v>27</v>
      </c>
      <c r="E48" s="72">
        <f t="shared" si="4"/>
        <v>0</v>
      </c>
      <c r="F48" s="121">
        <v>0</v>
      </c>
      <c r="G48" s="296">
        <v>0</v>
      </c>
      <c r="H48" s="296"/>
      <c r="I48" s="296">
        <v>0</v>
      </c>
      <c r="J48" s="296"/>
      <c r="K48" s="296"/>
      <c r="L48" s="296"/>
      <c r="M48" s="122">
        <v>0</v>
      </c>
    </row>
    <row r="49" spans="1:13" outlineLevel="2" x14ac:dyDescent="0.25">
      <c r="A49" s="751"/>
      <c r="B49" s="752"/>
      <c r="C49" s="752"/>
      <c r="D49" s="68" t="s">
        <v>28</v>
      </c>
      <c r="E49" s="72">
        <f t="shared" si="4"/>
        <v>0</v>
      </c>
      <c r="F49" s="121">
        <v>0</v>
      </c>
      <c r="G49" s="296">
        <v>0</v>
      </c>
      <c r="H49" s="296"/>
      <c r="I49" s="296">
        <v>0</v>
      </c>
      <c r="J49" s="296"/>
      <c r="K49" s="296"/>
      <c r="L49" s="296"/>
      <c r="M49" s="122">
        <v>0</v>
      </c>
    </row>
    <row r="50" spans="1:13" outlineLevel="2" x14ac:dyDescent="0.25">
      <c r="A50" s="751"/>
      <c r="B50" s="752"/>
      <c r="C50" s="752"/>
      <c r="D50" s="68" t="s">
        <v>29</v>
      </c>
      <c r="E50" s="72">
        <f t="shared" si="4"/>
        <v>0</v>
      </c>
      <c r="F50" s="121">
        <v>0</v>
      </c>
      <c r="G50" s="296">
        <v>0</v>
      </c>
      <c r="H50" s="296"/>
      <c r="I50" s="296">
        <v>0</v>
      </c>
      <c r="J50" s="296"/>
      <c r="K50" s="296"/>
      <c r="L50" s="296"/>
      <c r="M50" s="122">
        <v>0</v>
      </c>
    </row>
    <row r="51" spans="1:13" outlineLevel="2" x14ac:dyDescent="0.25">
      <c r="A51" s="751"/>
      <c r="B51" s="752"/>
      <c r="C51" s="752"/>
      <c r="D51" s="68" t="s">
        <v>30</v>
      </c>
      <c r="E51" s="72">
        <f t="shared" si="4"/>
        <v>0</v>
      </c>
      <c r="F51" s="121">
        <v>0</v>
      </c>
      <c r="G51" s="296">
        <v>0</v>
      </c>
      <c r="H51" s="296"/>
      <c r="I51" s="296">
        <v>0</v>
      </c>
      <c r="J51" s="296"/>
      <c r="K51" s="296"/>
      <c r="L51" s="296"/>
      <c r="M51" s="122">
        <v>0</v>
      </c>
    </row>
    <row r="52" spans="1:13" outlineLevel="2" x14ac:dyDescent="0.25">
      <c r="A52" s="751"/>
      <c r="B52" s="752"/>
      <c r="C52" s="752"/>
      <c r="D52" s="68" t="s">
        <v>31</v>
      </c>
      <c r="E52" s="72">
        <f t="shared" si="4"/>
        <v>0</v>
      </c>
      <c r="F52" s="121">
        <v>0</v>
      </c>
      <c r="G52" s="296">
        <v>0</v>
      </c>
      <c r="H52" s="296"/>
      <c r="I52" s="296">
        <v>0</v>
      </c>
      <c r="J52" s="296"/>
      <c r="K52" s="296"/>
      <c r="L52" s="296"/>
      <c r="M52" s="122">
        <v>0</v>
      </c>
    </row>
    <row r="53" spans="1:13" outlineLevel="2" x14ac:dyDescent="0.25">
      <c r="A53" s="751"/>
      <c r="B53" s="752"/>
      <c r="C53" s="752"/>
      <c r="D53" s="68" t="s">
        <v>32</v>
      </c>
      <c r="E53" s="72">
        <f t="shared" si="4"/>
        <v>0</v>
      </c>
      <c r="F53" s="121">
        <v>0</v>
      </c>
      <c r="G53" s="296">
        <v>0</v>
      </c>
      <c r="H53" s="296"/>
      <c r="I53" s="296">
        <v>0</v>
      </c>
      <c r="J53" s="296"/>
      <c r="K53" s="296"/>
      <c r="L53" s="296"/>
      <c r="M53" s="122">
        <v>0</v>
      </c>
    </row>
    <row r="54" spans="1:13" outlineLevel="2" x14ac:dyDescent="0.25">
      <c r="A54" s="751"/>
      <c r="B54" s="752"/>
      <c r="C54" s="752"/>
      <c r="D54" s="68" t="s">
        <v>33</v>
      </c>
      <c r="E54" s="72">
        <f t="shared" si="4"/>
        <v>0</v>
      </c>
      <c r="F54" s="121">
        <v>0</v>
      </c>
      <c r="G54" s="296">
        <v>0</v>
      </c>
      <c r="H54" s="296"/>
      <c r="I54" s="296">
        <v>0</v>
      </c>
      <c r="J54" s="296"/>
      <c r="K54" s="296"/>
      <c r="L54" s="296"/>
      <c r="M54" s="122">
        <v>0</v>
      </c>
    </row>
    <row r="55" spans="1:13" ht="15.75" outlineLevel="2" thickBot="1" x14ac:dyDescent="0.3">
      <c r="A55" s="751"/>
      <c r="B55" s="752"/>
      <c r="C55" s="752"/>
      <c r="D55" s="68" t="s">
        <v>34</v>
      </c>
      <c r="E55" s="73">
        <f t="shared" si="4"/>
        <v>0</v>
      </c>
      <c r="F55" s="123">
        <v>0</v>
      </c>
      <c r="G55" s="297">
        <v>0</v>
      </c>
      <c r="H55" s="297"/>
      <c r="I55" s="297">
        <v>0</v>
      </c>
      <c r="J55" s="297"/>
      <c r="K55" s="297"/>
      <c r="L55" s="297"/>
      <c r="M55" s="124">
        <v>0</v>
      </c>
    </row>
    <row r="56" spans="1:13" ht="15.75" thickBot="1" x14ac:dyDescent="0.3">
      <c r="A56" s="749" t="s">
        <v>79</v>
      </c>
      <c r="B56" s="750"/>
      <c r="C56" s="750"/>
      <c r="D56" s="81"/>
      <c r="E56" s="77">
        <f t="shared" ref="E56:M56" si="5">E57+E78</f>
        <v>0</v>
      </c>
      <c r="F56" s="78">
        <f t="shared" si="5"/>
        <v>0</v>
      </c>
      <c r="G56" s="290">
        <f t="shared" si="5"/>
        <v>0</v>
      </c>
      <c r="H56" s="290">
        <f t="shared" si="5"/>
        <v>0</v>
      </c>
      <c r="I56" s="290">
        <f t="shared" si="5"/>
        <v>0</v>
      </c>
      <c r="J56" s="290">
        <f t="shared" si="5"/>
        <v>0</v>
      </c>
      <c r="K56" s="290">
        <f t="shared" si="5"/>
        <v>0</v>
      </c>
      <c r="L56" s="290">
        <f t="shared" si="5"/>
        <v>0</v>
      </c>
      <c r="M56" s="290">
        <f t="shared" si="5"/>
        <v>0</v>
      </c>
    </row>
    <row r="57" spans="1:13" ht="15.75" outlineLevel="1" thickBot="1" x14ac:dyDescent="0.3">
      <c r="A57" s="17" t="s">
        <v>106</v>
      </c>
      <c r="B57" s="17"/>
      <c r="C57" s="17"/>
      <c r="D57" s="28"/>
      <c r="E57" s="131">
        <f t="shared" ref="E57:M57" si="6">SUM(E58:E77)</f>
        <v>0</v>
      </c>
      <c r="F57" s="132">
        <f t="shared" si="6"/>
        <v>0</v>
      </c>
      <c r="G57" s="298">
        <f t="shared" si="6"/>
        <v>0</v>
      </c>
      <c r="H57" s="298">
        <f t="shared" si="6"/>
        <v>0</v>
      </c>
      <c r="I57" s="298">
        <f t="shared" si="6"/>
        <v>0</v>
      </c>
      <c r="J57" s="298">
        <f t="shared" si="6"/>
        <v>0</v>
      </c>
      <c r="K57" s="298">
        <f t="shared" si="6"/>
        <v>0</v>
      </c>
      <c r="L57" s="298">
        <f t="shared" si="6"/>
        <v>0</v>
      </c>
      <c r="M57" s="298">
        <f t="shared" si="6"/>
        <v>0</v>
      </c>
    </row>
    <row r="58" spans="1:13" outlineLevel="2" x14ac:dyDescent="0.25">
      <c r="A58" s="751" t="s">
        <v>80</v>
      </c>
      <c r="B58" s="752" t="s">
        <v>81</v>
      </c>
      <c r="C58" s="752">
        <v>635009</v>
      </c>
      <c r="D58" s="67" t="s">
        <v>25</v>
      </c>
      <c r="E58" s="64">
        <f t="shared" ref="E58:E77" si="7">SUM(F58:M58)</f>
        <v>0</v>
      </c>
      <c r="F58" s="125">
        <v>0</v>
      </c>
      <c r="G58" s="291">
        <v>0</v>
      </c>
      <c r="H58" s="291"/>
      <c r="I58" s="291">
        <v>0</v>
      </c>
      <c r="J58" s="291"/>
      <c r="K58" s="291"/>
      <c r="L58" s="291"/>
      <c r="M58" s="128">
        <v>0</v>
      </c>
    </row>
    <row r="59" spans="1:13" outlineLevel="2" x14ac:dyDescent="0.25">
      <c r="A59" s="751"/>
      <c r="B59" s="752"/>
      <c r="C59" s="752"/>
      <c r="D59" s="68" t="s">
        <v>26</v>
      </c>
      <c r="E59" s="65">
        <f t="shared" si="7"/>
        <v>0</v>
      </c>
      <c r="F59" s="126">
        <v>0</v>
      </c>
      <c r="G59" s="292">
        <v>0</v>
      </c>
      <c r="H59" s="292"/>
      <c r="I59" s="292">
        <v>0</v>
      </c>
      <c r="J59" s="292"/>
      <c r="K59" s="292"/>
      <c r="L59" s="292"/>
      <c r="M59" s="129">
        <v>0</v>
      </c>
    </row>
    <row r="60" spans="1:13" outlineLevel="2" x14ac:dyDescent="0.25">
      <c r="A60" s="751"/>
      <c r="B60" s="752"/>
      <c r="C60" s="752"/>
      <c r="D60" s="68" t="s">
        <v>27</v>
      </c>
      <c r="E60" s="65">
        <f t="shared" si="7"/>
        <v>0</v>
      </c>
      <c r="F60" s="126">
        <v>0</v>
      </c>
      <c r="G60" s="292">
        <v>0</v>
      </c>
      <c r="H60" s="292"/>
      <c r="I60" s="292">
        <v>0</v>
      </c>
      <c r="J60" s="292"/>
      <c r="K60" s="292"/>
      <c r="L60" s="292"/>
      <c r="M60" s="129">
        <v>0</v>
      </c>
    </row>
    <row r="61" spans="1:13" outlineLevel="2" x14ac:dyDescent="0.25">
      <c r="A61" s="751"/>
      <c r="B61" s="752"/>
      <c r="C61" s="752"/>
      <c r="D61" s="68" t="s">
        <v>28</v>
      </c>
      <c r="E61" s="65">
        <f t="shared" si="7"/>
        <v>0</v>
      </c>
      <c r="F61" s="126">
        <v>0</v>
      </c>
      <c r="G61" s="292">
        <v>0</v>
      </c>
      <c r="H61" s="292"/>
      <c r="I61" s="292">
        <v>0</v>
      </c>
      <c r="J61" s="292"/>
      <c r="K61" s="292"/>
      <c r="L61" s="292"/>
      <c r="M61" s="129">
        <v>0</v>
      </c>
    </row>
    <row r="62" spans="1:13" outlineLevel="2" x14ac:dyDescent="0.25">
      <c r="A62" s="751"/>
      <c r="B62" s="752"/>
      <c r="C62" s="752"/>
      <c r="D62" s="68" t="s">
        <v>29</v>
      </c>
      <c r="E62" s="65">
        <f t="shared" si="7"/>
        <v>0</v>
      </c>
      <c r="F62" s="126">
        <v>0</v>
      </c>
      <c r="G62" s="292">
        <v>0</v>
      </c>
      <c r="H62" s="292"/>
      <c r="I62" s="292">
        <v>0</v>
      </c>
      <c r="J62" s="292"/>
      <c r="K62" s="292"/>
      <c r="L62" s="292"/>
      <c r="M62" s="129">
        <v>0</v>
      </c>
    </row>
    <row r="63" spans="1:13" outlineLevel="2" x14ac:dyDescent="0.25">
      <c r="A63" s="751"/>
      <c r="B63" s="752"/>
      <c r="C63" s="752"/>
      <c r="D63" s="68" t="s">
        <v>30</v>
      </c>
      <c r="E63" s="65">
        <f t="shared" si="7"/>
        <v>0</v>
      </c>
      <c r="F63" s="126">
        <v>0</v>
      </c>
      <c r="G63" s="292">
        <v>0</v>
      </c>
      <c r="H63" s="292"/>
      <c r="I63" s="292">
        <v>0</v>
      </c>
      <c r="J63" s="292"/>
      <c r="K63" s="292"/>
      <c r="L63" s="292"/>
      <c r="M63" s="129">
        <v>0</v>
      </c>
    </row>
    <row r="64" spans="1:13" outlineLevel="2" x14ac:dyDescent="0.25">
      <c r="A64" s="751"/>
      <c r="B64" s="752"/>
      <c r="C64" s="752"/>
      <c r="D64" s="68" t="s">
        <v>31</v>
      </c>
      <c r="E64" s="65">
        <f t="shared" si="7"/>
        <v>0</v>
      </c>
      <c r="F64" s="126">
        <v>0</v>
      </c>
      <c r="G64" s="292">
        <v>0</v>
      </c>
      <c r="H64" s="292"/>
      <c r="I64" s="292">
        <v>0</v>
      </c>
      <c r="J64" s="292"/>
      <c r="K64" s="292"/>
      <c r="L64" s="292"/>
      <c r="M64" s="129">
        <v>0</v>
      </c>
    </row>
    <row r="65" spans="1:13" outlineLevel="2" x14ac:dyDescent="0.25">
      <c r="A65" s="751"/>
      <c r="B65" s="752"/>
      <c r="C65" s="752"/>
      <c r="D65" s="68" t="s">
        <v>32</v>
      </c>
      <c r="E65" s="65">
        <f t="shared" si="7"/>
        <v>0</v>
      </c>
      <c r="F65" s="126">
        <v>0</v>
      </c>
      <c r="G65" s="292">
        <v>0</v>
      </c>
      <c r="H65" s="292"/>
      <c r="I65" s="292">
        <v>0</v>
      </c>
      <c r="J65" s="292"/>
      <c r="K65" s="292"/>
      <c r="L65" s="292"/>
      <c r="M65" s="129">
        <v>0</v>
      </c>
    </row>
    <row r="66" spans="1:13" outlineLevel="2" x14ac:dyDescent="0.25">
      <c r="A66" s="751"/>
      <c r="B66" s="752"/>
      <c r="C66" s="752"/>
      <c r="D66" s="68" t="s">
        <v>33</v>
      </c>
      <c r="E66" s="65">
        <f t="shared" si="7"/>
        <v>0</v>
      </c>
      <c r="F66" s="126">
        <v>0</v>
      </c>
      <c r="G66" s="292">
        <v>0</v>
      </c>
      <c r="H66" s="292"/>
      <c r="I66" s="292">
        <v>0</v>
      </c>
      <c r="J66" s="292"/>
      <c r="K66" s="292"/>
      <c r="L66" s="292"/>
      <c r="M66" s="129">
        <v>0</v>
      </c>
    </row>
    <row r="67" spans="1:13" ht="15.75" outlineLevel="2" thickBot="1" x14ac:dyDescent="0.3">
      <c r="A67" s="751"/>
      <c r="B67" s="752"/>
      <c r="C67" s="752"/>
      <c r="D67" s="69" t="s">
        <v>34</v>
      </c>
      <c r="E67" s="66">
        <f t="shared" si="7"/>
        <v>0</v>
      </c>
      <c r="F67" s="127">
        <v>0</v>
      </c>
      <c r="G67" s="292">
        <v>0</v>
      </c>
      <c r="H67" s="293"/>
      <c r="I67" s="293">
        <v>0</v>
      </c>
      <c r="J67" s="293"/>
      <c r="K67" s="293"/>
      <c r="L67" s="293"/>
      <c r="M67" s="130">
        <v>0</v>
      </c>
    </row>
    <row r="68" spans="1:13" outlineLevel="2" x14ac:dyDescent="0.25">
      <c r="A68" s="751" t="s">
        <v>82</v>
      </c>
      <c r="B68" s="752" t="s">
        <v>73</v>
      </c>
      <c r="C68" s="752">
        <v>718006</v>
      </c>
      <c r="D68" s="67" t="s">
        <v>25</v>
      </c>
      <c r="E68" s="65">
        <f t="shared" si="7"/>
        <v>0</v>
      </c>
      <c r="F68" s="125">
        <v>0</v>
      </c>
      <c r="G68" s="291">
        <v>0</v>
      </c>
      <c r="H68" s="291"/>
      <c r="I68" s="291">
        <v>0</v>
      </c>
      <c r="J68" s="291"/>
      <c r="K68" s="291"/>
      <c r="L68" s="291"/>
      <c r="M68" s="128">
        <v>0</v>
      </c>
    </row>
    <row r="69" spans="1:13" outlineLevel="2" x14ac:dyDescent="0.25">
      <c r="A69" s="751"/>
      <c r="B69" s="752"/>
      <c r="C69" s="752"/>
      <c r="D69" s="68" t="s">
        <v>26</v>
      </c>
      <c r="E69" s="65">
        <f t="shared" si="7"/>
        <v>0</v>
      </c>
      <c r="F69" s="126">
        <v>0</v>
      </c>
      <c r="G69" s="292">
        <v>0</v>
      </c>
      <c r="H69" s="292"/>
      <c r="I69" s="292">
        <v>0</v>
      </c>
      <c r="J69" s="292"/>
      <c r="K69" s="292"/>
      <c r="L69" s="292"/>
      <c r="M69" s="129">
        <v>0</v>
      </c>
    </row>
    <row r="70" spans="1:13" outlineLevel="2" x14ac:dyDescent="0.25">
      <c r="A70" s="751"/>
      <c r="B70" s="752"/>
      <c r="C70" s="752"/>
      <c r="D70" s="68" t="s">
        <v>27</v>
      </c>
      <c r="E70" s="65">
        <f t="shared" si="7"/>
        <v>0</v>
      </c>
      <c r="F70" s="126">
        <v>0</v>
      </c>
      <c r="G70" s="292">
        <v>0</v>
      </c>
      <c r="H70" s="292"/>
      <c r="I70" s="292">
        <v>0</v>
      </c>
      <c r="J70" s="292"/>
      <c r="K70" s="292"/>
      <c r="L70" s="292"/>
      <c r="M70" s="129">
        <v>0</v>
      </c>
    </row>
    <row r="71" spans="1:13" outlineLevel="2" x14ac:dyDescent="0.25">
      <c r="A71" s="751"/>
      <c r="B71" s="752"/>
      <c r="C71" s="752"/>
      <c r="D71" s="68" t="s">
        <v>28</v>
      </c>
      <c r="E71" s="65">
        <f t="shared" si="7"/>
        <v>0</v>
      </c>
      <c r="F71" s="126">
        <v>0</v>
      </c>
      <c r="G71" s="292">
        <v>0</v>
      </c>
      <c r="H71" s="292"/>
      <c r="I71" s="292">
        <v>0</v>
      </c>
      <c r="J71" s="292"/>
      <c r="K71" s="292"/>
      <c r="L71" s="292"/>
      <c r="M71" s="129">
        <v>0</v>
      </c>
    </row>
    <row r="72" spans="1:13" outlineLevel="2" x14ac:dyDescent="0.25">
      <c r="A72" s="751"/>
      <c r="B72" s="752"/>
      <c r="C72" s="752"/>
      <c r="D72" s="68" t="s">
        <v>29</v>
      </c>
      <c r="E72" s="65">
        <f t="shared" si="7"/>
        <v>0</v>
      </c>
      <c r="F72" s="126">
        <v>0</v>
      </c>
      <c r="G72" s="292">
        <v>0</v>
      </c>
      <c r="H72" s="292"/>
      <c r="I72" s="292">
        <v>0</v>
      </c>
      <c r="J72" s="292"/>
      <c r="K72" s="292"/>
      <c r="L72" s="292"/>
      <c r="M72" s="129">
        <v>0</v>
      </c>
    </row>
    <row r="73" spans="1:13" outlineLevel="2" x14ac:dyDescent="0.25">
      <c r="A73" s="751"/>
      <c r="B73" s="752"/>
      <c r="C73" s="752"/>
      <c r="D73" s="68" t="s">
        <v>30</v>
      </c>
      <c r="E73" s="65">
        <f t="shared" si="7"/>
        <v>0</v>
      </c>
      <c r="F73" s="126">
        <v>0</v>
      </c>
      <c r="G73" s="292">
        <v>0</v>
      </c>
      <c r="H73" s="292"/>
      <c r="I73" s="292">
        <v>0</v>
      </c>
      <c r="J73" s="292"/>
      <c r="K73" s="292"/>
      <c r="L73" s="292"/>
      <c r="M73" s="129">
        <v>0</v>
      </c>
    </row>
    <row r="74" spans="1:13" outlineLevel="2" x14ac:dyDescent="0.25">
      <c r="A74" s="751"/>
      <c r="B74" s="752"/>
      <c r="C74" s="752"/>
      <c r="D74" s="68" t="s">
        <v>31</v>
      </c>
      <c r="E74" s="65">
        <f t="shared" si="7"/>
        <v>0</v>
      </c>
      <c r="F74" s="126">
        <v>0</v>
      </c>
      <c r="G74" s="292">
        <v>0</v>
      </c>
      <c r="H74" s="292"/>
      <c r="I74" s="292">
        <v>0</v>
      </c>
      <c r="J74" s="292"/>
      <c r="K74" s="292"/>
      <c r="L74" s="292"/>
      <c r="M74" s="129">
        <v>0</v>
      </c>
    </row>
    <row r="75" spans="1:13" outlineLevel="2" x14ac:dyDescent="0.25">
      <c r="A75" s="751"/>
      <c r="B75" s="752"/>
      <c r="C75" s="752"/>
      <c r="D75" s="68" t="s">
        <v>32</v>
      </c>
      <c r="E75" s="65">
        <f t="shared" si="7"/>
        <v>0</v>
      </c>
      <c r="F75" s="126">
        <v>0</v>
      </c>
      <c r="G75" s="292">
        <v>0</v>
      </c>
      <c r="H75" s="292"/>
      <c r="I75" s="292">
        <v>0</v>
      </c>
      <c r="J75" s="292"/>
      <c r="K75" s="292"/>
      <c r="L75" s="292"/>
      <c r="M75" s="129">
        <v>0</v>
      </c>
    </row>
    <row r="76" spans="1:13" outlineLevel="2" x14ac:dyDescent="0.25">
      <c r="A76" s="751"/>
      <c r="B76" s="752"/>
      <c r="C76" s="752"/>
      <c r="D76" s="68" t="s">
        <v>33</v>
      </c>
      <c r="E76" s="65">
        <f t="shared" si="7"/>
        <v>0</v>
      </c>
      <c r="F76" s="126">
        <v>0</v>
      </c>
      <c r="G76" s="292">
        <v>0</v>
      </c>
      <c r="H76" s="292"/>
      <c r="I76" s="292">
        <v>0</v>
      </c>
      <c r="J76" s="292"/>
      <c r="K76" s="292"/>
      <c r="L76" s="292"/>
      <c r="M76" s="129">
        <v>0</v>
      </c>
    </row>
    <row r="77" spans="1:13" ht="15.75" outlineLevel="2" thickBot="1" x14ac:dyDescent="0.3">
      <c r="A77" s="751"/>
      <c r="B77" s="752"/>
      <c r="C77" s="752"/>
      <c r="D77" s="69" t="s">
        <v>34</v>
      </c>
      <c r="E77" s="66">
        <f t="shared" si="7"/>
        <v>0</v>
      </c>
      <c r="F77" s="127">
        <v>0</v>
      </c>
      <c r="G77" s="293">
        <v>0</v>
      </c>
      <c r="H77" s="293"/>
      <c r="I77" s="293">
        <v>0</v>
      </c>
      <c r="J77" s="293"/>
      <c r="K77" s="293"/>
      <c r="L77" s="293"/>
      <c r="M77" s="130">
        <v>0</v>
      </c>
    </row>
    <row r="78" spans="1:13" ht="15.75" outlineLevel="1" thickBot="1" x14ac:dyDescent="0.3">
      <c r="A78" s="17" t="s">
        <v>107</v>
      </c>
      <c r="B78" s="17"/>
      <c r="C78" s="17"/>
      <c r="D78" s="28"/>
      <c r="E78" s="133">
        <f t="shared" ref="E78:M78" si="8">SUM(E79:E128)</f>
        <v>0</v>
      </c>
      <c r="F78" s="134">
        <f t="shared" si="8"/>
        <v>0</v>
      </c>
      <c r="G78" s="299">
        <f t="shared" si="8"/>
        <v>0</v>
      </c>
      <c r="H78" s="299">
        <f t="shared" si="8"/>
        <v>0</v>
      </c>
      <c r="I78" s="299">
        <f t="shared" si="8"/>
        <v>0</v>
      </c>
      <c r="J78" s="299">
        <f t="shared" si="8"/>
        <v>0</v>
      </c>
      <c r="K78" s="299">
        <f t="shared" si="8"/>
        <v>0</v>
      </c>
      <c r="L78" s="299">
        <f t="shared" si="8"/>
        <v>0</v>
      </c>
      <c r="M78" s="299">
        <f t="shared" si="8"/>
        <v>0</v>
      </c>
    </row>
    <row r="79" spans="1:13" outlineLevel="2" x14ac:dyDescent="0.25">
      <c r="A79" s="751" t="s">
        <v>83</v>
      </c>
      <c r="B79" s="752" t="s">
        <v>81</v>
      </c>
      <c r="C79" s="752">
        <v>635009</v>
      </c>
      <c r="D79" s="67" t="s">
        <v>25</v>
      </c>
      <c r="E79" s="71">
        <f t="shared" ref="E79:E110" si="9">SUM(F79:M79)</f>
        <v>0</v>
      </c>
      <c r="F79" s="119">
        <v>0</v>
      </c>
      <c r="G79" s="295">
        <v>0</v>
      </c>
      <c r="H79" s="295"/>
      <c r="I79" s="295">
        <v>0</v>
      </c>
      <c r="J79" s="295"/>
      <c r="K79" s="295"/>
      <c r="L79" s="295"/>
      <c r="M79" s="120">
        <v>0</v>
      </c>
    </row>
    <row r="80" spans="1:13" outlineLevel="2" x14ac:dyDescent="0.25">
      <c r="A80" s="751"/>
      <c r="B80" s="752"/>
      <c r="C80" s="752"/>
      <c r="D80" s="68" t="s">
        <v>26</v>
      </c>
      <c r="E80" s="72">
        <f t="shared" si="9"/>
        <v>0</v>
      </c>
      <c r="F80" s="121">
        <v>0</v>
      </c>
      <c r="G80" s="296">
        <v>0</v>
      </c>
      <c r="H80" s="296"/>
      <c r="I80" s="296">
        <v>0</v>
      </c>
      <c r="J80" s="296"/>
      <c r="K80" s="296"/>
      <c r="L80" s="296"/>
      <c r="M80" s="122">
        <v>0</v>
      </c>
    </row>
    <row r="81" spans="1:13" outlineLevel="2" x14ac:dyDescent="0.25">
      <c r="A81" s="751"/>
      <c r="B81" s="752"/>
      <c r="C81" s="752"/>
      <c r="D81" s="68" t="s">
        <v>27</v>
      </c>
      <c r="E81" s="72">
        <f t="shared" si="9"/>
        <v>0</v>
      </c>
      <c r="F81" s="121">
        <v>0</v>
      </c>
      <c r="G81" s="296">
        <v>0</v>
      </c>
      <c r="H81" s="296"/>
      <c r="I81" s="296">
        <v>0</v>
      </c>
      <c r="J81" s="296"/>
      <c r="K81" s="296"/>
      <c r="L81" s="296"/>
      <c r="M81" s="122">
        <v>0</v>
      </c>
    </row>
    <row r="82" spans="1:13" outlineLevel="2" x14ac:dyDescent="0.25">
      <c r="A82" s="751"/>
      <c r="B82" s="752"/>
      <c r="C82" s="752"/>
      <c r="D82" s="68" t="s">
        <v>28</v>
      </c>
      <c r="E82" s="72">
        <f t="shared" si="9"/>
        <v>0</v>
      </c>
      <c r="F82" s="121">
        <v>0</v>
      </c>
      <c r="G82" s="296">
        <v>0</v>
      </c>
      <c r="H82" s="296"/>
      <c r="I82" s="296">
        <v>0</v>
      </c>
      <c r="J82" s="296"/>
      <c r="K82" s="296"/>
      <c r="L82" s="296"/>
      <c r="M82" s="122">
        <v>0</v>
      </c>
    </row>
    <row r="83" spans="1:13" outlineLevel="2" x14ac:dyDescent="0.25">
      <c r="A83" s="751"/>
      <c r="B83" s="752"/>
      <c r="C83" s="752"/>
      <c r="D83" s="68" t="s">
        <v>29</v>
      </c>
      <c r="E83" s="72">
        <f t="shared" si="9"/>
        <v>0</v>
      </c>
      <c r="F83" s="121">
        <v>0</v>
      </c>
      <c r="G83" s="296">
        <v>0</v>
      </c>
      <c r="H83" s="296"/>
      <c r="I83" s="296">
        <v>0</v>
      </c>
      <c r="J83" s="296"/>
      <c r="K83" s="296"/>
      <c r="L83" s="296"/>
      <c r="M83" s="122">
        <v>0</v>
      </c>
    </row>
    <row r="84" spans="1:13" outlineLevel="2" x14ac:dyDescent="0.25">
      <c r="A84" s="751"/>
      <c r="B84" s="752"/>
      <c r="C84" s="752"/>
      <c r="D84" s="68" t="s">
        <v>30</v>
      </c>
      <c r="E84" s="72">
        <f t="shared" si="9"/>
        <v>0</v>
      </c>
      <c r="F84" s="121">
        <v>0</v>
      </c>
      <c r="G84" s="296">
        <v>0</v>
      </c>
      <c r="H84" s="296"/>
      <c r="I84" s="296">
        <v>0</v>
      </c>
      <c r="J84" s="296"/>
      <c r="K84" s="296"/>
      <c r="L84" s="296"/>
      <c r="M84" s="122">
        <v>0</v>
      </c>
    </row>
    <row r="85" spans="1:13" outlineLevel="2" x14ac:dyDescent="0.25">
      <c r="A85" s="751"/>
      <c r="B85" s="752"/>
      <c r="C85" s="752"/>
      <c r="D85" s="68" t="s">
        <v>31</v>
      </c>
      <c r="E85" s="72">
        <f t="shared" si="9"/>
        <v>0</v>
      </c>
      <c r="F85" s="121">
        <v>0</v>
      </c>
      <c r="G85" s="296">
        <v>0</v>
      </c>
      <c r="H85" s="296"/>
      <c r="I85" s="296">
        <v>0</v>
      </c>
      <c r="J85" s="296"/>
      <c r="K85" s="296"/>
      <c r="L85" s="296"/>
      <c r="M85" s="122">
        <v>0</v>
      </c>
    </row>
    <row r="86" spans="1:13" outlineLevel="2" x14ac:dyDescent="0.25">
      <c r="A86" s="751"/>
      <c r="B86" s="752"/>
      <c r="C86" s="752"/>
      <c r="D86" s="68" t="s">
        <v>32</v>
      </c>
      <c r="E86" s="72">
        <f t="shared" si="9"/>
        <v>0</v>
      </c>
      <c r="F86" s="121">
        <v>0</v>
      </c>
      <c r="G86" s="296">
        <v>0</v>
      </c>
      <c r="H86" s="296"/>
      <c r="I86" s="296">
        <v>0</v>
      </c>
      <c r="J86" s="296"/>
      <c r="K86" s="296"/>
      <c r="L86" s="296"/>
      <c r="M86" s="122">
        <v>0</v>
      </c>
    </row>
    <row r="87" spans="1:13" outlineLevel="2" x14ac:dyDescent="0.25">
      <c r="A87" s="751"/>
      <c r="B87" s="752"/>
      <c r="C87" s="752"/>
      <c r="D87" s="68" t="s">
        <v>33</v>
      </c>
      <c r="E87" s="72">
        <f t="shared" si="9"/>
        <v>0</v>
      </c>
      <c r="F87" s="121">
        <v>0</v>
      </c>
      <c r="G87" s="296">
        <v>0</v>
      </c>
      <c r="H87" s="296"/>
      <c r="I87" s="296">
        <v>0</v>
      </c>
      <c r="J87" s="296"/>
      <c r="K87" s="296"/>
      <c r="L87" s="296"/>
      <c r="M87" s="122">
        <v>0</v>
      </c>
    </row>
    <row r="88" spans="1:13" ht="15.75" outlineLevel="2" thickBot="1" x14ac:dyDescent="0.3">
      <c r="A88" s="751"/>
      <c r="B88" s="752"/>
      <c r="C88" s="752"/>
      <c r="D88" s="69" t="s">
        <v>34</v>
      </c>
      <c r="E88" s="73">
        <f t="shared" si="9"/>
        <v>0</v>
      </c>
      <c r="F88" s="121">
        <v>0</v>
      </c>
      <c r="G88" s="296">
        <v>0</v>
      </c>
      <c r="H88" s="297"/>
      <c r="I88" s="297">
        <v>0</v>
      </c>
      <c r="J88" s="297"/>
      <c r="K88" s="297"/>
      <c r="L88" s="297"/>
      <c r="M88" s="124">
        <v>0</v>
      </c>
    </row>
    <row r="89" spans="1:13" outlineLevel="2" x14ac:dyDescent="0.25">
      <c r="A89" s="751" t="s">
        <v>84</v>
      </c>
      <c r="B89" s="752" t="s">
        <v>78</v>
      </c>
      <c r="C89" s="752">
        <v>637005</v>
      </c>
      <c r="D89" s="67" t="s">
        <v>25</v>
      </c>
      <c r="E89" s="72">
        <f t="shared" si="9"/>
        <v>0</v>
      </c>
      <c r="F89" s="119">
        <v>0</v>
      </c>
      <c r="G89" s="295">
        <v>0</v>
      </c>
      <c r="H89" s="295"/>
      <c r="I89" s="295">
        <v>0</v>
      </c>
      <c r="J89" s="295"/>
      <c r="K89" s="295"/>
      <c r="L89" s="295"/>
      <c r="M89" s="120">
        <v>0</v>
      </c>
    </row>
    <row r="90" spans="1:13" outlineLevel="2" x14ac:dyDescent="0.25">
      <c r="A90" s="751"/>
      <c r="B90" s="752"/>
      <c r="C90" s="752"/>
      <c r="D90" s="68" t="s">
        <v>26</v>
      </c>
      <c r="E90" s="72">
        <f t="shared" si="9"/>
        <v>0</v>
      </c>
      <c r="F90" s="121">
        <v>0</v>
      </c>
      <c r="G90" s="296">
        <v>0</v>
      </c>
      <c r="H90" s="296"/>
      <c r="I90" s="296">
        <v>0</v>
      </c>
      <c r="J90" s="296"/>
      <c r="K90" s="296"/>
      <c r="L90" s="296"/>
      <c r="M90" s="122">
        <v>0</v>
      </c>
    </row>
    <row r="91" spans="1:13" outlineLevel="2" x14ac:dyDescent="0.25">
      <c r="A91" s="751"/>
      <c r="B91" s="752"/>
      <c r="C91" s="752"/>
      <c r="D91" s="68" t="s">
        <v>27</v>
      </c>
      <c r="E91" s="72">
        <f t="shared" si="9"/>
        <v>0</v>
      </c>
      <c r="F91" s="121">
        <v>0</v>
      </c>
      <c r="G91" s="296">
        <v>0</v>
      </c>
      <c r="H91" s="296"/>
      <c r="I91" s="296">
        <v>0</v>
      </c>
      <c r="J91" s="296"/>
      <c r="K91" s="296"/>
      <c r="L91" s="296"/>
      <c r="M91" s="122">
        <v>0</v>
      </c>
    </row>
    <row r="92" spans="1:13" outlineLevel="2" x14ac:dyDescent="0.25">
      <c r="A92" s="751"/>
      <c r="B92" s="752"/>
      <c r="C92" s="752"/>
      <c r="D92" s="68" t="s">
        <v>28</v>
      </c>
      <c r="E92" s="72">
        <f t="shared" si="9"/>
        <v>0</v>
      </c>
      <c r="F92" s="121">
        <v>0</v>
      </c>
      <c r="G92" s="296">
        <v>0</v>
      </c>
      <c r="H92" s="296"/>
      <c r="I92" s="296">
        <v>0</v>
      </c>
      <c r="J92" s="296"/>
      <c r="K92" s="296"/>
      <c r="L92" s="296"/>
      <c r="M92" s="122">
        <v>0</v>
      </c>
    </row>
    <row r="93" spans="1:13" outlineLevel="2" x14ac:dyDescent="0.25">
      <c r="A93" s="751"/>
      <c r="B93" s="752"/>
      <c r="C93" s="752"/>
      <c r="D93" s="68" t="s">
        <v>29</v>
      </c>
      <c r="E93" s="72">
        <f t="shared" si="9"/>
        <v>0</v>
      </c>
      <c r="F93" s="121">
        <v>0</v>
      </c>
      <c r="G93" s="296">
        <v>0</v>
      </c>
      <c r="H93" s="296"/>
      <c r="I93" s="296">
        <v>0</v>
      </c>
      <c r="J93" s="296"/>
      <c r="K93" s="296"/>
      <c r="L93" s="296"/>
      <c r="M93" s="122">
        <v>0</v>
      </c>
    </row>
    <row r="94" spans="1:13" outlineLevel="2" x14ac:dyDescent="0.25">
      <c r="A94" s="751"/>
      <c r="B94" s="752"/>
      <c r="C94" s="752"/>
      <c r="D94" s="68" t="s">
        <v>30</v>
      </c>
      <c r="E94" s="72">
        <f t="shared" si="9"/>
        <v>0</v>
      </c>
      <c r="F94" s="121">
        <v>0</v>
      </c>
      <c r="G94" s="296">
        <v>0</v>
      </c>
      <c r="H94" s="296"/>
      <c r="I94" s="296">
        <v>0</v>
      </c>
      <c r="J94" s="296"/>
      <c r="K94" s="296"/>
      <c r="L94" s="296"/>
      <c r="M94" s="122">
        <v>0</v>
      </c>
    </row>
    <row r="95" spans="1:13" outlineLevel="2" x14ac:dyDescent="0.25">
      <c r="A95" s="751"/>
      <c r="B95" s="752"/>
      <c r="C95" s="752"/>
      <c r="D95" s="68" t="s">
        <v>31</v>
      </c>
      <c r="E95" s="72">
        <f t="shared" si="9"/>
        <v>0</v>
      </c>
      <c r="F95" s="121">
        <v>0</v>
      </c>
      <c r="G95" s="296">
        <v>0</v>
      </c>
      <c r="H95" s="296"/>
      <c r="I95" s="296">
        <v>0</v>
      </c>
      <c r="J95" s="296"/>
      <c r="K95" s="296"/>
      <c r="L95" s="296"/>
      <c r="M95" s="122">
        <v>0</v>
      </c>
    </row>
    <row r="96" spans="1:13" outlineLevel="2" x14ac:dyDescent="0.25">
      <c r="A96" s="751"/>
      <c r="B96" s="752"/>
      <c r="C96" s="752"/>
      <c r="D96" s="68" t="s">
        <v>32</v>
      </c>
      <c r="E96" s="72">
        <f t="shared" si="9"/>
        <v>0</v>
      </c>
      <c r="F96" s="121">
        <v>0</v>
      </c>
      <c r="G96" s="296">
        <v>0</v>
      </c>
      <c r="H96" s="296"/>
      <c r="I96" s="296">
        <v>0</v>
      </c>
      <c r="J96" s="296"/>
      <c r="K96" s="296"/>
      <c r="L96" s="296"/>
      <c r="M96" s="122">
        <v>0</v>
      </c>
    </row>
    <row r="97" spans="1:13" outlineLevel="2" x14ac:dyDescent="0.25">
      <c r="A97" s="751"/>
      <c r="B97" s="752"/>
      <c r="C97" s="752"/>
      <c r="D97" s="68" t="s">
        <v>33</v>
      </c>
      <c r="E97" s="72">
        <f t="shared" si="9"/>
        <v>0</v>
      </c>
      <c r="F97" s="121">
        <v>0</v>
      </c>
      <c r="G97" s="296">
        <v>0</v>
      </c>
      <c r="H97" s="296"/>
      <c r="I97" s="296">
        <v>0</v>
      </c>
      <c r="J97" s="296"/>
      <c r="K97" s="296"/>
      <c r="L97" s="296"/>
      <c r="M97" s="122">
        <v>0</v>
      </c>
    </row>
    <row r="98" spans="1:13" ht="15.75" outlineLevel="2" thickBot="1" x14ac:dyDescent="0.3">
      <c r="A98" s="751"/>
      <c r="B98" s="752"/>
      <c r="C98" s="752"/>
      <c r="D98" s="69" t="s">
        <v>34</v>
      </c>
      <c r="E98" s="73">
        <f t="shared" si="9"/>
        <v>0</v>
      </c>
      <c r="F98" s="123">
        <v>0</v>
      </c>
      <c r="G98" s="297">
        <v>0</v>
      </c>
      <c r="H98" s="297"/>
      <c r="I98" s="297">
        <v>0</v>
      </c>
      <c r="J98" s="297"/>
      <c r="K98" s="297"/>
      <c r="L98" s="297"/>
      <c r="M98" s="124">
        <v>0</v>
      </c>
    </row>
    <row r="99" spans="1:13" outlineLevel="2" x14ac:dyDescent="0.25">
      <c r="A99" s="751" t="s">
        <v>85</v>
      </c>
      <c r="B99" s="752" t="s">
        <v>73</v>
      </c>
      <c r="C99" s="752">
        <v>718006</v>
      </c>
      <c r="D99" s="67" t="s">
        <v>25</v>
      </c>
      <c r="E99" s="72">
        <f t="shared" si="9"/>
        <v>0</v>
      </c>
      <c r="F99" s="119">
        <v>0</v>
      </c>
      <c r="G99" s="295">
        <v>0</v>
      </c>
      <c r="H99" s="295"/>
      <c r="I99" s="295">
        <v>0</v>
      </c>
      <c r="J99" s="295"/>
      <c r="K99" s="295"/>
      <c r="L99" s="295"/>
      <c r="M99" s="120">
        <v>0</v>
      </c>
    </row>
    <row r="100" spans="1:13" outlineLevel="2" x14ac:dyDescent="0.25">
      <c r="A100" s="751"/>
      <c r="B100" s="752"/>
      <c r="C100" s="752"/>
      <c r="D100" s="68" t="s">
        <v>26</v>
      </c>
      <c r="E100" s="72">
        <f t="shared" si="9"/>
        <v>0</v>
      </c>
      <c r="F100" s="121">
        <v>0</v>
      </c>
      <c r="G100" s="296">
        <v>0</v>
      </c>
      <c r="H100" s="296"/>
      <c r="I100" s="296">
        <v>0</v>
      </c>
      <c r="J100" s="296"/>
      <c r="K100" s="296"/>
      <c r="L100" s="296"/>
      <c r="M100" s="122">
        <v>0</v>
      </c>
    </row>
    <row r="101" spans="1:13" outlineLevel="2" x14ac:dyDescent="0.25">
      <c r="A101" s="751"/>
      <c r="B101" s="752"/>
      <c r="C101" s="752"/>
      <c r="D101" s="68" t="s">
        <v>27</v>
      </c>
      <c r="E101" s="72">
        <f t="shared" si="9"/>
        <v>0</v>
      </c>
      <c r="F101" s="121">
        <v>0</v>
      </c>
      <c r="G101" s="296">
        <v>0</v>
      </c>
      <c r="H101" s="296"/>
      <c r="I101" s="296">
        <v>0</v>
      </c>
      <c r="J101" s="296"/>
      <c r="K101" s="296"/>
      <c r="L101" s="296"/>
      <c r="M101" s="122">
        <v>0</v>
      </c>
    </row>
    <row r="102" spans="1:13" outlineLevel="2" x14ac:dyDescent="0.25">
      <c r="A102" s="751"/>
      <c r="B102" s="752"/>
      <c r="C102" s="752"/>
      <c r="D102" s="68" t="s">
        <v>28</v>
      </c>
      <c r="E102" s="72">
        <f t="shared" si="9"/>
        <v>0</v>
      </c>
      <c r="F102" s="121">
        <v>0</v>
      </c>
      <c r="G102" s="296">
        <v>0</v>
      </c>
      <c r="H102" s="296"/>
      <c r="I102" s="296">
        <v>0</v>
      </c>
      <c r="J102" s="296"/>
      <c r="K102" s="296"/>
      <c r="L102" s="296"/>
      <c r="M102" s="122">
        <v>0</v>
      </c>
    </row>
    <row r="103" spans="1:13" outlineLevel="2" x14ac:dyDescent="0.25">
      <c r="A103" s="751"/>
      <c r="B103" s="752"/>
      <c r="C103" s="752"/>
      <c r="D103" s="68" t="s">
        <v>29</v>
      </c>
      <c r="E103" s="72">
        <f t="shared" si="9"/>
        <v>0</v>
      </c>
      <c r="F103" s="121">
        <v>0</v>
      </c>
      <c r="G103" s="296">
        <v>0</v>
      </c>
      <c r="H103" s="296"/>
      <c r="I103" s="296">
        <v>0</v>
      </c>
      <c r="J103" s="296"/>
      <c r="K103" s="296"/>
      <c r="L103" s="296"/>
      <c r="M103" s="122">
        <v>0</v>
      </c>
    </row>
    <row r="104" spans="1:13" outlineLevel="2" x14ac:dyDescent="0.25">
      <c r="A104" s="751"/>
      <c r="B104" s="752"/>
      <c r="C104" s="752"/>
      <c r="D104" s="68" t="s">
        <v>30</v>
      </c>
      <c r="E104" s="72">
        <f t="shared" si="9"/>
        <v>0</v>
      </c>
      <c r="F104" s="121">
        <v>0</v>
      </c>
      <c r="G104" s="296">
        <v>0</v>
      </c>
      <c r="H104" s="296"/>
      <c r="I104" s="296">
        <v>0</v>
      </c>
      <c r="J104" s="296"/>
      <c r="K104" s="296"/>
      <c r="L104" s="296"/>
      <c r="M104" s="122">
        <v>0</v>
      </c>
    </row>
    <row r="105" spans="1:13" outlineLevel="2" x14ac:dyDescent="0.25">
      <c r="A105" s="751"/>
      <c r="B105" s="752"/>
      <c r="C105" s="752"/>
      <c r="D105" s="68" t="s">
        <v>31</v>
      </c>
      <c r="E105" s="72">
        <f t="shared" si="9"/>
        <v>0</v>
      </c>
      <c r="F105" s="121">
        <v>0</v>
      </c>
      <c r="G105" s="296">
        <v>0</v>
      </c>
      <c r="H105" s="296"/>
      <c r="I105" s="296">
        <v>0</v>
      </c>
      <c r="J105" s="296"/>
      <c r="K105" s="296"/>
      <c r="L105" s="296"/>
      <c r="M105" s="122">
        <v>0</v>
      </c>
    </row>
    <row r="106" spans="1:13" outlineLevel="2" x14ac:dyDescent="0.25">
      <c r="A106" s="751"/>
      <c r="B106" s="752"/>
      <c r="C106" s="752"/>
      <c r="D106" s="68" t="s">
        <v>32</v>
      </c>
      <c r="E106" s="72">
        <f t="shared" si="9"/>
        <v>0</v>
      </c>
      <c r="F106" s="121">
        <v>0</v>
      </c>
      <c r="G106" s="296">
        <v>0</v>
      </c>
      <c r="H106" s="296"/>
      <c r="I106" s="296">
        <v>0</v>
      </c>
      <c r="J106" s="296"/>
      <c r="K106" s="296"/>
      <c r="L106" s="296"/>
      <c r="M106" s="122">
        <v>0</v>
      </c>
    </row>
    <row r="107" spans="1:13" outlineLevel="2" x14ac:dyDescent="0.25">
      <c r="A107" s="751"/>
      <c r="B107" s="752"/>
      <c r="C107" s="752"/>
      <c r="D107" s="68" t="s">
        <v>33</v>
      </c>
      <c r="E107" s="72">
        <f t="shared" si="9"/>
        <v>0</v>
      </c>
      <c r="F107" s="121">
        <v>0</v>
      </c>
      <c r="G107" s="296">
        <v>0</v>
      </c>
      <c r="H107" s="296"/>
      <c r="I107" s="296">
        <v>0</v>
      </c>
      <c r="J107" s="296"/>
      <c r="K107" s="296"/>
      <c r="L107" s="296"/>
      <c r="M107" s="122">
        <v>0</v>
      </c>
    </row>
    <row r="108" spans="1:13" ht="15.75" outlineLevel="2" thickBot="1" x14ac:dyDescent="0.3">
      <c r="A108" s="751"/>
      <c r="B108" s="752"/>
      <c r="C108" s="752"/>
      <c r="D108" s="69" t="s">
        <v>34</v>
      </c>
      <c r="E108" s="73">
        <f t="shared" si="9"/>
        <v>0</v>
      </c>
      <c r="F108" s="123">
        <v>0</v>
      </c>
      <c r="G108" s="297">
        <v>0</v>
      </c>
      <c r="H108" s="297"/>
      <c r="I108" s="297">
        <v>0</v>
      </c>
      <c r="J108" s="297"/>
      <c r="K108" s="297"/>
      <c r="L108" s="297"/>
      <c r="M108" s="124">
        <v>0</v>
      </c>
    </row>
    <row r="109" spans="1:13" outlineLevel="2" x14ac:dyDescent="0.25">
      <c r="A109" s="751" t="s">
        <v>86</v>
      </c>
      <c r="B109" s="752" t="s">
        <v>87</v>
      </c>
      <c r="C109" s="752">
        <v>610</v>
      </c>
      <c r="D109" s="67" t="s">
        <v>25</v>
      </c>
      <c r="E109" s="72">
        <f t="shared" si="9"/>
        <v>0</v>
      </c>
      <c r="F109" s="119">
        <v>0</v>
      </c>
      <c r="G109" s="295">
        <v>0</v>
      </c>
      <c r="H109" s="295"/>
      <c r="I109" s="295">
        <v>0</v>
      </c>
      <c r="J109" s="295"/>
      <c r="K109" s="295"/>
      <c r="L109" s="295"/>
      <c r="M109" s="120">
        <v>0</v>
      </c>
    </row>
    <row r="110" spans="1:13" outlineLevel="2" x14ac:dyDescent="0.25">
      <c r="A110" s="751"/>
      <c r="B110" s="752"/>
      <c r="C110" s="752"/>
      <c r="D110" s="68" t="s">
        <v>26</v>
      </c>
      <c r="E110" s="72">
        <f t="shared" si="9"/>
        <v>0</v>
      </c>
      <c r="F110" s="121">
        <v>0</v>
      </c>
      <c r="G110" s="296">
        <v>0</v>
      </c>
      <c r="H110" s="296"/>
      <c r="I110" s="296">
        <v>0</v>
      </c>
      <c r="J110" s="296"/>
      <c r="K110" s="296"/>
      <c r="L110" s="296"/>
      <c r="M110" s="122">
        <v>0</v>
      </c>
    </row>
    <row r="111" spans="1:13" outlineLevel="2" x14ac:dyDescent="0.25">
      <c r="A111" s="751"/>
      <c r="B111" s="752"/>
      <c r="C111" s="752"/>
      <c r="D111" s="68" t="s">
        <v>27</v>
      </c>
      <c r="E111" s="72">
        <f t="shared" ref="E111:E142" si="10">SUM(F111:M111)</f>
        <v>0</v>
      </c>
      <c r="F111" s="121">
        <v>0</v>
      </c>
      <c r="G111" s="296">
        <v>0</v>
      </c>
      <c r="H111" s="296"/>
      <c r="I111" s="296">
        <v>0</v>
      </c>
      <c r="J111" s="296"/>
      <c r="K111" s="296"/>
      <c r="L111" s="296"/>
      <c r="M111" s="122">
        <v>0</v>
      </c>
    </row>
    <row r="112" spans="1:13" outlineLevel="2" x14ac:dyDescent="0.25">
      <c r="A112" s="751"/>
      <c r="B112" s="752"/>
      <c r="C112" s="752"/>
      <c r="D112" s="68" t="s">
        <v>28</v>
      </c>
      <c r="E112" s="72">
        <f t="shared" si="10"/>
        <v>0</v>
      </c>
      <c r="F112" s="121">
        <v>0</v>
      </c>
      <c r="G112" s="296">
        <v>0</v>
      </c>
      <c r="H112" s="296"/>
      <c r="I112" s="296">
        <v>0</v>
      </c>
      <c r="J112" s="296"/>
      <c r="K112" s="296"/>
      <c r="L112" s="296"/>
      <c r="M112" s="122">
        <v>0</v>
      </c>
    </row>
    <row r="113" spans="1:13" outlineLevel="2" x14ac:dyDescent="0.25">
      <c r="A113" s="751"/>
      <c r="B113" s="752"/>
      <c r="C113" s="752"/>
      <c r="D113" s="68" t="s">
        <v>29</v>
      </c>
      <c r="E113" s="72">
        <f t="shared" si="10"/>
        <v>0</v>
      </c>
      <c r="F113" s="121">
        <v>0</v>
      </c>
      <c r="G113" s="296">
        <v>0</v>
      </c>
      <c r="H113" s="296"/>
      <c r="I113" s="296">
        <v>0</v>
      </c>
      <c r="J113" s="296"/>
      <c r="K113" s="296"/>
      <c r="L113" s="296"/>
      <c r="M113" s="122">
        <v>0</v>
      </c>
    </row>
    <row r="114" spans="1:13" outlineLevel="2" x14ac:dyDescent="0.25">
      <c r="A114" s="751"/>
      <c r="B114" s="752"/>
      <c r="C114" s="752"/>
      <c r="D114" s="68" t="s">
        <v>30</v>
      </c>
      <c r="E114" s="72">
        <f t="shared" si="10"/>
        <v>0</v>
      </c>
      <c r="F114" s="121">
        <v>0</v>
      </c>
      <c r="G114" s="296">
        <v>0</v>
      </c>
      <c r="H114" s="296"/>
      <c r="I114" s="296">
        <v>0</v>
      </c>
      <c r="J114" s="296"/>
      <c r="K114" s="296"/>
      <c r="L114" s="296"/>
      <c r="M114" s="122">
        <v>0</v>
      </c>
    </row>
    <row r="115" spans="1:13" outlineLevel="2" x14ac:dyDescent="0.25">
      <c r="A115" s="751"/>
      <c r="B115" s="752"/>
      <c r="C115" s="752"/>
      <c r="D115" s="68" t="s">
        <v>31</v>
      </c>
      <c r="E115" s="72">
        <f t="shared" si="10"/>
        <v>0</v>
      </c>
      <c r="F115" s="121">
        <v>0</v>
      </c>
      <c r="G115" s="296">
        <v>0</v>
      </c>
      <c r="H115" s="296"/>
      <c r="I115" s="296">
        <v>0</v>
      </c>
      <c r="J115" s="296"/>
      <c r="K115" s="296"/>
      <c r="L115" s="296"/>
      <c r="M115" s="122">
        <v>0</v>
      </c>
    </row>
    <row r="116" spans="1:13" outlineLevel="2" x14ac:dyDescent="0.25">
      <c r="A116" s="751"/>
      <c r="B116" s="752"/>
      <c r="C116" s="752"/>
      <c r="D116" s="68" t="s">
        <v>32</v>
      </c>
      <c r="E116" s="72">
        <f t="shared" si="10"/>
        <v>0</v>
      </c>
      <c r="F116" s="121">
        <v>0</v>
      </c>
      <c r="G116" s="296">
        <v>0</v>
      </c>
      <c r="H116" s="296"/>
      <c r="I116" s="296">
        <v>0</v>
      </c>
      <c r="J116" s="296"/>
      <c r="K116" s="296"/>
      <c r="L116" s="296"/>
      <c r="M116" s="122">
        <v>0</v>
      </c>
    </row>
    <row r="117" spans="1:13" outlineLevel="2" x14ac:dyDescent="0.25">
      <c r="A117" s="751"/>
      <c r="B117" s="752"/>
      <c r="C117" s="752"/>
      <c r="D117" s="68" t="s">
        <v>33</v>
      </c>
      <c r="E117" s="72">
        <f t="shared" si="10"/>
        <v>0</v>
      </c>
      <c r="F117" s="121">
        <v>0</v>
      </c>
      <c r="G117" s="296">
        <v>0</v>
      </c>
      <c r="H117" s="296"/>
      <c r="I117" s="296">
        <v>0</v>
      </c>
      <c r="J117" s="296"/>
      <c r="K117" s="296"/>
      <c r="L117" s="296"/>
      <c r="M117" s="122">
        <v>0</v>
      </c>
    </row>
    <row r="118" spans="1:13" ht="15.75" outlineLevel="2" thickBot="1" x14ac:dyDescent="0.3">
      <c r="A118" s="751"/>
      <c r="B118" s="752"/>
      <c r="C118" s="752"/>
      <c r="D118" s="69" t="s">
        <v>34</v>
      </c>
      <c r="E118" s="73">
        <f t="shared" si="10"/>
        <v>0</v>
      </c>
      <c r="F118" s="123">
        <v>0</v>
      </c>
      <c r="G118" s="296">
        <v>0</v>
      </c>
      <c r="H118" s="297"/>
      <c r="I118" s="297">
        <v>0</v>
      </c>
      <c r="J118" s="297"/>
      <c r="K118" s="297"/>
      <c r="L118" s="297"/>
      <c r="M118" s="124">
        <v>0</v>
      </c>
    </row>
    <row r="119" spans="1:13" outlineLevel="2" x14ac:dyDescent="0.25">
      <c r="A119" s="751" t="s">
        <v>77</v>
      </c>
      <c r="B119" s="752" t="s">
        <v>78</v>
      </c>
      <c r="C119" s="752">
        <v>637001</v>
      </c>
      <c r="D119" s="67" t="s">
        <v>25</v>
      </c>
      <c r="E119" s="72">
        <f t="shared" si="10"/>
        <v>0</v>
      </c>
      <c r="F119" s="119">
        <v>0</v>
      </c>
      <c r="G119" s="295">
        <v>0</v>
      </c>
      <c r="H119" s="295"/>
      <c r="I119" s="295">
        <v>0</v>
      </c>
      <c r="J119" s="295"/>
      <c r="K119" s="295"/>
      <c r="L119" s="295"/>
      <c r="M119" s="120">
        <v>0</v>
      </c>
    </row>
    <row r="120" spans="1:13" outlineLevel="2" x14ac:dyDescent="0.25">
      <c r="A120" s="751"/>
      <c r="B120" s="752"/>
      <c r="C120" s="752"/>
      <c r="D120" s="68" t="s">
        <v>26</v>
      </c>
      <c r="E120" s="72">
        <f t="shared" si="10"/>
        <v>0</v>
      </c>
      <c r="F120" s="121">
        <v>0</v>
      </c>
      <c r="G120" s="296">
        <v>0</v>
      </c>
      <c r="H120" s="296"/>
      <c r="I120" s="296">
        <v>0</v>
      </c>
      <c r="J120" s="296"/>
      <c r="K120" s="296"/>
      <c r="L120" s="296"/>
      <c r="M120" s="122">
        <v>0</v>
      </c>
    </row>
    <row r="121" spans="1:13" outlineLevel="2" x14ac:dyDescent="0.25">
      <c r="A121" s="751"/>
      <c r="B121" s="752"/>
      <c r="C121" s="752"/>
      <c r="D121" s="68" t="s">
        <v>27</v>
      </c>
      <c r="E121" s="72">
        <f t="shared" si="10"/>
        <v>0</v>
      </c>
      <c r="F121" s="121">
        <v>0</v>
      </c>
      <c r="G121" s="296">
        <v>0</v>
      </c>
      <c r="H121" s="296"/>
      <c r="I121" s="296">
        <v>0</v>
      </c>
      <c r="J121" s="296"/>
      <c r="K121" s="296"/>
      <c r="L121" s="296"/>
      <c r="M121" s="122">
        <v>0</v>
      </c>
    </row>
    <row r="122" spans="1:13" outlineLevel="2" x14ac:dyDescent="0.25">
      <c r="A122" s="751"/>
      <c r="B122" s="752"/>
      <c r="C122" s="752"/>
      <c r="D122" s="68" t="s">
        <v>28</v>
      </c>
      <c r="E122" s="72">
        <f t="shared" si="10"/>
        <v>0</v>
      </c>
      <c r="F122" s="121">
        <v>0</v>
      </c>
      <c r="G122" s="296">
        <v>0</v>
      </c>
      <c r="H122" s="296"/>
      <c r="I122" s="296">
        <v>0</v>
      </c>
      <c r="J122" s="296"/>
      <c r="K122" s="296"/>
      <c r="L122" s="296"/>
      <c r="M122" s="122">
        <v>0</v>
      </c>
    </row>
    <row r="123" spans="1:13" outlineLevel="2" x14ac:dyDescent="0.25">
      <c r="A123" s="751"/>
      <c r="B123" s="752"/>
      <c r="C123" s="752"/>
      <c r="D123" s="68" t="s">
        <v>29</v>
      </c>
      <c r="E123" s="72">
        <f t="shared" si="10"/>
        <v>0</v>
      </c>
      <c r="F123" s="121">
        <v>0</v>
      </c>
      <c r="G123" s="296">
        <v>0</v>
      </c>
      <c r="H123" s="296"/>
      <c r="I123" s="296">
        <v>0</v>
      </c>
      <c r="J123" s="296"/>
      <c r="K123" s="296"/>
      <c r="L123" s="296"/>
      <c r="M123" s="122">
        <v>0</v>
      </c>
    </row>
    <row r="124" spans="1:13" outlineLevel="2" x14ac:dyDescent="0.25">
      <c r="A124" s="751"/>
      <c r="B124" s="752"/>
      <c r="C124" s="752"/>
      <c r="D124" s="68" t="s">
        <v>30</v>
      </c>
      <c r="E124" s="72">
        <f t="shared" si="10"/>
        <v>0</v>
      </c>
      <c r="F124" s="121">
        <v>0</v>
      </c>
      <c r="G124" s="296">
        <v>0</v>
      </c>
      <c r="H124" s="296"/>
      <c r="I124" s="296">
        <v>0</v>
      </c>
      <c r="J124" s="296"/>
      <c r="K124" s="296"/>
      <c r="L124" s="296"/>
      <c r="M124" s="122">
        <v>0</v>
      </c>
    </row>
    <row r="125" spans="1:13" outlineLevel="2" x14ac:dyDescent="0.25">
      <c r="A125" s="751"/>
      <c r="B125" s="752"/>
      <c r="C125" s="752"/>
      <c r="D125" s="68" t="s">
        <v>31</v>
      </c>
      <c r="E125" s="72">
        <f t="shared" si="10"/>
        <v>0</v>
      </c>
      <c r="F125" s="121">
        <v>0</v>
      </c>
      <c r="G125" s="296">
        <v>0</v>
      </c>
      <c r="H125" s="296"/>
      <c r="I125" s="296">
        <v>0</v>
      </c>
      <c r="J125" s="296"/>
      <c r="K125" s="296"/>
      <c r="L125" s="296"/>
      <c r="M125" s="122">
        <v>0</v>
      </c>
    </row>
    <row r="126" spans="1:13" outlineLevel="2" x14ac:dyDescent="0.25">
      <c r="A126" s="751"/>
      <c r="B126" s="752"/>
      <c r="C126" s="752"/>
      <c r="D126" s="68" t="s">
        <v>32</v>
      </c>
      <c r="E126" s="72">
        <f t="shared" si="10"/>
        <v>0</v>
      </c>
      <c r="F126" s="121">
        <v>0</v>
      </c>
      <c r="G126" s="296">
        <v>0</v>
      </c>
      <c r="H126" s="296"/>
      <c r="I126" s="296">
        <v>0</v>
      </c>
      <c r="J126" s="296"/>
      <c r="K126" s="296"/>
      <c r="L126" s="296"/>
      <c r="M126" s="122">
        <v>0</v>
      </c>
    </row>
    <row r="127" spans="1:13" outlineLevel="2" x14ac:dyDescent="0.25">
      <c r="A127" s="751"/>
      <c r="B127" s="752"/>
      <c r="C127" s="752"/>
      <c r="D127" s="68" t="s">
        <v>33</v>
      </c>
      <c r="E127" s="72">
        <f t="shared" si="10"/>
        <v>0</v>
      </c>
      <c r="F127" s="121">
        <v>0</v>
      </c>
      <c r="G127" s="296">
        <v>0</v>
      </c>
      <c r="H127" s="296"/>
      <c r="I127" s="296">
        <v>0</v>
      </c>
      <c r="J127" s="296"/>
      <c r="K127" s="296"/>
      <c r="L127" s="296"/>
      <c r="M127" s="122">
        <v>0</v>
      </c>
    </row>
    <row r="128" spans="1:13" ht="15.75" outlineLevel="2" thickBot="1" x14ac:dyDescent="0.3">
      <c r="A128" s="751"/>
      <c r="B128" s="752"/>
      <c r="C128" s="752"/>
      <c r="D128" s="69" t="s">
        <v>34</v>
      </c>
      <c r="E128" s="73">
        <f t="shared" si="10"/>
        <v>0</v>
      </c>
      <c r="F128" s="123">
        <v>0</v>
      </c>
      <c r="G128" s="297">
        <v>0</v>
      </c>
      <c r="H128" s="297"/>
      <c r="I128" s="297">
        <v>0</v>
      </c>
      <c r="J128" s="297"/>
      <c r="K128" s="297"/>
      <c r="L128" s="297"/>
      <c r="M128" s="124">
        <v>0</v>
      </c>
    </row>
    <row r="129" spans="1:13" ht="15.75" thickBot="1" x14ac:dyDescent="0.3">
      <c r="A129" s="17" t="s">
        <v>332</v>
      </c>
      <c r="B129" s="17"/>
      <c r="C129" s="17"/>
      <c r="D129" s="28"/>
      <c r="E129" s="133">
        <f t="shared" ref="E129:M129" si="11">SUM(E130:E149)</f>
        <v>43400</v>
      </c>
      <c r="F129" s="134">
        <f t="shared" si="11"/>
        <v>6200</v>
      </c>
      <c r="G129" s="299">
        <f t="shared" si="11"/>
        <v>6200</v>
      </c>
      <c r="H129" s="299">
        <f t="shared" si="11"/>
        <v>6200</v>
      </c>
      <c r="I129" s="299">
        <f t="shared" si="11"/>
        <v>6200</v>
      </c>
      <c r="J129" s="299">
        <f t="shared" si="11"/>
        <v>6200</v>
      </c>
      <c r="K129" s="299">
        <f t="shared" si="11"/>
        <v>6200</v>
      </c>
      <c r="L129" s="299">
        <f t="shared" si="11"/>
        <v>6200</v>
      </c>
      <c r="M129" s="299">
        <f t="shared" si="11"/>
        <v>0</v>
      </c>
    </row>
    <row r="130" spans="1:13" x14ac:dyDescent="0.25">
      <c r="A130" s="751" t="s">
        <v>333</v>
      </c>
      <c r="B130" s="752"/>
      <c r="C130" s="752"/>
      <c r="D130" s="67" t="s">
        <v>25</v>
      </c>
      <c r="E130" s="71">
        <f t="shared" ref="E130:E149" si="12">SUM(F130:M130)</f>
        <v>1400</v>
      </c>
      <c r="F130" s="119">
        <v>200</v>
      </c>
      <c r="G130" s="119">
        <v>200</v>
      </c>
      <c r="H130" s="119">
        <v>200</v>
      </c>
      <c r="I130" s="119">
        <v>200</v>
      </c>
      <c r="J130" s="119">
        <v>200</v>
      </c>
      <c r="K130" s="119">
        <v>200</v>
      </c>
      <c r="L130" s="119">
        <v>200</v>
      </c>
      <c r="M130" s="120">
        <v>0</v>
      </c>
    </row>
    <row r="131" spans="1:13" x14ac:dyDescent="0.25">
      <c r="A131" s="751"/>
      <c r="B131" s="752"/>
      <c r="C131" s="752"/>
      <c r="D131" s="68" t="s">
        <v>26</v>
      </c>
      <c r="E131" s="72">
        <f t="shared" si="12"/>
        <v>7000</v>
      </c>
      <c r="F131" s="121">
        <v>1000</v>
      </c>
      <c r="G131" s="121">
        <v>1000</v>
      </c>
      <c r="H131" s="121">
        <v>1000</v>
      </c>
      <c r="I131" s="121">
        <v>1000</v>
      </c>
      <c r="J131" s="121">
        <v>1000</v>
      </c>
      <c r="K131" s="121">
        <v>1000</v>
      </c>
      <c r="L131" s="121">
        <v>1000</v>
      </c>
      <c r="M131" s="122">
        <v>0</v>
      </c>
    </row>
    <row r="132" spans="1:13" x14ac:dyDescent="0.25">
      <c r="A132" s="751"/>
      <c r="B132" s="752"/>
      <c r="C132" s="752"/>
      <c r="D132" s="68" t="s">
        <v>27</v>
      </c>
      <c r="E132" s="72">
        <f t="shared" si="12"/>
        <v>7000</v>
      </c>
      <c r="F132" s="121">
        <v>1000</v>
      </c>
      <c r="G132" s="121">
        <v>1000</v>
      </c>
      <c r="H132" s="121">
        <v>1000</v>
      </c>
      <c r="I132" s="121">
        <v>1000</v>
      </c>
      <c r="J132" s="121">
        <v>1000</v>
      </c>
      <c r="K132" s="121">
        <v>1000</v>
      </c>
      <c r="L132" s="121">
        <v>1000</v>
      </c>
      <c r="M132" s="122">
        <v>0</v>
      </c>
    </row>
    <row r="133" spans="1:13" x14ac:dyDescent="0.25">
      <c r="A133" s="751"/>
      <c r="B133" s="752"/>
      <c r="C133" s="752"/>
      <c r="D133" s="68" t="s">
        <v>28</v>
      </c>
      <c r="E133" s="72">
        <f t="shared" si="12"/>
        <v>7000</v>
      </c>
      <c r="F133" s="121">
        <v>1000</v>
      </c>
      <c r="G133" s="121">
        <v>1000</v>
      </c>
      <c r="H133" s="121">
        <v>1000</v>
      </c>
      <c r="I133" s="121">
        <v>1000</v>
      </c>
      <c r="J133" s="121">
        <v>1000</v>
      </c>
      <c r="K133" s="121">
        <v>1000</v>
      </c>
      <c r="L133" s="121">
        <v>1000</v>
      </c>
      <c r="M133" s="122">
        <v>0</v>
      </c>
    </row>
    <row r="134" spans="1:13" x14ac:dyDescent="0.25">
      <c r="A134" s="751"/>
      <c r="B134" s="752"/>
      <c r="C134" s="752"/>
      <c r="D134" s="68" t="s">
        <v>29</v>
      </c>
      <c r="E134" s="72">
        <f t="shared" si="12"/>
        <v>7000</v>
      </c>
      <c r="F134" s="121">
        <v>1000</v>
      </c>
      <c r="G134" s="121">
        <v>1000</v>
      </c>
      <c r="H134" s="121">
        <v>1000</v>
      </c>
      <c r="I134" s="121">
        <v>1000</v>
      </c>
      <c r="J134" s="121">
        <v>1000</v>
      </c>
      <c r="K134" s="121">
        <v>1000</v>
      </c>
      <c r="L134" s="121">
        <v>1000</v>
      </c>
      <c r="M134" s="122">
        <v>0</v>
      </c>
    </row>
    <row r="135" spans="1:13" x14ac:dyDescent="0.25">
      <c r="A135" s="751"/>
      <c r="B135" s="752"/>
      <c r="C135" s="752"/>
      <c r="D135" s="68" t="s">
        <v>30</v>
      </c>
      <c r="E135" s="72">
        <f t="shared" si="12"/>
        <v>7000</v>
      </c>
      <c r="F135" s="121">
        <v>1000</v>
      </c>
      <c r="G135" s="121">
        <v>1000</v>
      </c>
      <c r="H135" s="121">
        <v>1000</v>
      </c>
      <c r="I135" s="121">
        <v>1000</v>
      </c>
      <c r="J135" s="121">
        <v>1000</v>
      </c>
      <c r="K135" s="121">
        <v>1000</v>
      </c>
      <c r="L135" s="121">
        <v>1000</v>
      </c>
      <c r="M135" s="122">
        <v>0</v>
      </c>
    </row>
    <row r="136" spans="1:13" x14ac:dyDescent="0.25">
      <c r="A136" s="751"/>
      <c r="B136" s="752"/>
      <c r="C136" s="752"/>
      <c r="D136" s="68" t="s">
        <v>31</v>
      </c>
      <c r="E136" s="72">
        <f t="shared" si="12"/>
        <v>7000</v>
      </c>
      <c r="F136" s="121">
        <v>1000</v>
      </c>
      <c r="G136" s="121">
        <v>1000</v>
      </c>
      <c r="H136" s="121">
        <v>1000</v>
      </c>
      <c r="I136" s="121">
        <v>1000</v>
      </c>
      <c r="J136" s="121">
        <v>1000</v>
      </c>
      <c r="K136" s="121">
        <v>1000</v>
      </c>
      <c r="L136" s="121">
        <v>1000</v>
      </c>
      <c r="M136" s="122">
        <v>0</v>
      </c>
    </row>
    <row r="137" spans="1:13" x14ac:dyDescent="0.25">
      <c r="A137" s="751"/>
      <c r="B137" s="752"/>
      <c r="C137" s="752"/>
      <c r="D137" s="68" t="s">
        <v>32</v>
      </c>
      <c r="E137" s="72">
        <f t="shared" si="12"/>
        <v>0</v>
      </c>
      <c r="F137" s="121">
        <v>0</v>
      </c>
      <c r="G137" s="296">
        <v>0</v>
      </c>
      <c r="H137" s="296"/>
      <c r="I137" s="296">
        <v>0</v>
      </c>
      <c r="J137" s="296"/>
      <c r="K137" s="296"/>
      <c r="L137" s="296"/>
      <c r="M137" s="122">
        <v>0</v>
      </c>
    </row>
    <row r="138" spans="1:13" x14ac:dyDescent="0.25">
      <c r="A138" s="751"/>
      <c r="B138" s="752"/>
      <c r="C138" s="752"/>
      <c r="D138" s="68" t="s">
        <v>33</v>
      </c>
      <c r="E138" s="72">
        <f t="shared" si="12"/>
        <v>0</v>
      </c>
      <c r="F138" s="121">
        <v>0</v>
      </c>
      <c r="G138" s="296">
        <v>0</v>
      </c>
      <c r="H138" s="296"/>
      <c r="I138" s="296">
        <v>0</v>
      </c>
      <c r="J138" s="296"/>
      <c r="K138" s="296"/>
      <c r="L138" s="296"/>
      <c r="M138" s="122">
        <v>0</v>
      </c>
    </row>
    <row r="139" spans="1:13" ht="15.75" thickBot="1" x14ac:dyDescent="0.3">
      <c r="A139" s="751"/>
      <c r="B139" s="752"/>
      <c r="C139" s="752"/>
      <c r="D139" s="69" t="s">
        <v>34</v>
      </c>
      <c r="E139" s="73">
        <f t="shared" si="12"/>
        <v>0</v>
      </c>
      <c r="F139" s="123">
        <v>0</v>
      </c>
      <c r="G139" s="297">
        <v>0</v>
      </c>
      <c r="H139" s="297"/>
      <c r="I139" s="297">
        <v>0</v>
      </c>
      <c r="J139" s="297"/>
      <c r="K139" s="297"/>
      <c r="L139" s="297"/>
      <c r="M139" s="124">
        <v>0</v>
      </c>
    </row>
    <row r="140" spans="1:13" x14ac:dyDescent="0.25">
      <c r="A140" s="751" t="s">
        <v>158</v>
      </c>
      <c r="B140" s="752"/>
      <c r="C140" s="752" t="s">
        <v>361</v>
      </c>
      <c r="D140" s="67" t="s">
        <v>25</v>
      </c>
      <c r="E140" s="72">
        <f t="shared" si="12"/>
        <v>0</v>
      </c>
      <c r="F140" s="119">
        <v>0</v>
      </c>
      <c r="G140" s="295">
        <v>0</v>
      </c>
      <c r="H140" s="295"/>
      <c r="I140" s="295">
        <v>0</v>
      </c>
      <c r="J140" s="295"/>
      <c r="K140" s="295"/>
      <c r="L140" s="295"/>
      <c r="M140" s="120">
        <v>0</v>
      </c>
    </row>
    <row r="141" spans="1:13" x14ac:dyDescent="0.25">
      <c r="A141" s="751"/>
      <c r="B141" s="752"/>
      <c r="C141" s="752"/>
      <c r="D141" s="68" t="s">
        <v>26</v>
      </c>
      <c r="E141" s="72">
        <f t="shared" si="12"/>
        <v>0</v>
      </c>
      <c r="F141" s="121">
        <v>0</v>
      </c>
      <c r="G141" s="296">
        <v>0</v>
      </c>
      <c r="H141" s="296"/>
      <c r="I141" s="296">
        <v>0</v>
      </c>
      <c r="J141" s="296"/>
      <c r="K141" s="296"/>
      <c r="L141" s="296"/>
      <c r="M141" s="122">
        <v>0</v>
      </c>
    </row>
    <row r="142" spans="1:13" x14ac:dyDescent="0.25">
      <c r="A142" s="751"/>
      <c r="B142" s="752"/>
      <c r="C142" s="752"/>
      <c r="D142" s="68" t="s">
        <v>27</v>
      </c>
      <c r="E142" s="72">
        <f t="shared" si="12"/>
        <v>0</v>
      </c>
      <c r="F142" s="121">
        <v>0</v>
      </c>
      <c r="G142" s="296">
        <v>0</v>
      </c>
      <c r="H142" s="296"/>
      <c r="I142" s="296">
        <v>0</v>
      </c>
      <c r="J142" s="296"/>
      <c r="K142" s="296"/>
      <c r="L142" s="296"/>
      <c r="M142" s="122">
        <v>0</v>
      </c>
    </row>
    <row r="143" spans="1:13" x14ac:dyDescent="0.25">
      <c r="A143" s="751"/>
      <c r="B143" s="752"/>
      <c r="C143" s="752"/>
      <c r="D143" s="68" t="s">
        <v>28</v>
      </c>
      <c r="E143" s="72">
        <f t="shared" si="12"/>
        <v>0</v>
      </c>
      <c r="F143" s="121">
        <v>0</v>
      </c>
      <c r="G143" s="296">
        <v>0</v>
      </c>
      <c r="H143" s="296"/>
      <c r="I143" s="296">
        <v>0</v>
      </c>
      <c r="J143" s="296"/>
      <c r="K143" s="296"/>
      <c r="L143" s="296"/>
      <c r="M143" s="122">
        <v>0</v>
      </c>
    </row>
    <row r="144" spans="1:13" x14ac:dyDescent="0.25">
      <c r="A144" s="751"/>
      <c r="B144" s="752"/>
      <c r="C144" s="752"/>
      <c r="D144" s="68" t="s">
        <v>29</v>
      </c>
      <c r="E144" s="72">
        <f t="shared" si="12"/>
        <v>0</v>
      </c>
      <c r="F144" s="121">
        <v>0</v>
      </c>
      <c r="G144" s="296">
        <v>0</v>
      </c>
      <c r="H144" s="296"/>
      <c r="I144" s="296">
        <v>0</v>
      </c>
      <c r="J144" s="296"/>
      <c r="K144" s="296"/>
      <c r="L144" s="296"/>
      <c r="M144" s="122">
        <v>0</v>
      </c>
    </row>
    <row r="145" spans="1:13" x14ac:dyDescent="0.25">
      <c r="A145" s="751"/>
      <c r="B145" s="752"/>
      <c r="C145" s="752"/>
      <c r="D145" s="68" t="s">
        <v>30</v>
      </c>
      <c r="E145" s="72">
        <f t="shared" si="12"/>
        <v>0</v>
      </c>
      <c r="F145" s="121">
        <v>0</v>
      </c>
      <c r="G145" s="296">
        <v>0</v>
      </c>
      <c r="H145" s="296"/>
      <c r="I145" s="296">
        <v>0</v>
      </c>
      <c r="J145" s="296"/>
      <c r="K145" s="296"/>
      <c r="L145" s="296"/>
      <c r="M145" s="122">
        <v>0</v>
      </c>
    </row>
    <row r="146" spans="1:13" x14ac:dyDescent="0.25">
      <c r="A146" s="751"/>
      <c r="B146" s="752"/>
      <c r="C146" s="752"/>
      <c r="D146" s="68" t="s">
        <v>31</v>
      </c>
      <c r="E146" s="72">
        <f t="shared" si="12"/>
        <v>0</v>
      </c>
      <c r="F146" s="121">
        <v>0</v>
      </c>
      <c r="G146" s="296">
        <v>0</v>
      </c>
      <c r="H146" s="296"/>
      <c r="I146" s="296">
        <v>0</v>
      </c>
      <c r="J146" s="296"/>
      <c r="K146" s="296"/>
      <c r="L146" s="296"/>
      <c r="M146" s="122">
        <v>0</v>
      </c>
    </row>
    <row r="147" spans="1:13" x14ac:dyDescent="0.25">
      <c r="A147" s="751"/>
      <c r="B147" s="752"/>
      <c r="C147" s="752"/>
      <c r="D147" s="68" t="s">
        <v>32</v>
      </c>
      <c r="E147" s="72">
        <f t="shared" si="12"/>
        <v>0</v>
      </c>
      <c r="F147" s="121">
        <v>0</v>
      </c>
      <c r="G147" s="296">
        <v>0</v>
      </c>
      <c r="H147" s="296"/>
      <c r="I147" s="296">
        <v>0</v>
      </c>
      <c r="J147" s="296"/>
      <c r="K147" s="296"/>
      <c r="L147" s="296"/>
      <c r="M147" s="122">
        <v>0</v>
      </c>
    </row>
    <row r="148" spans="1:13" x14ac:dyDescent="0.25">
      <c r="A148" s="751"/>
      <c r="B148" s="752"/>
      <c r="C148" s="752"/>
      <c r="D148" s="68" t="s">
        <v>33</v>
      </c>
      <c r="E148" s="72">
        <f t="shared" si="12"/>
        <v>0</v>
      </c>
      <c r="F148" s="121">
        <v>0</v>
      </c>
      <c r="G148" s="296">
        <v>0</v>
      </c>
      <c r="H148" s="296"/>
      <c r="I148" s="296">
        <v>0</v>
      </c>
      <c r="J148" s="296"/>
      <c r="K148" s="296"/>
      <c r="L148" s="296"/>
      <c r="M148" s="122">
        <v>0</v>
      </c>
    </row>
    <row r="149" spans="1:13" ht="15.75" thickBot="1" x14ac:dyDescent="0.3">
      <c r="A149" s="751"/>
      <c r="B149" s="752"/>
      <c r="C149" s="752"/>
      <c r="D149" s="69" t="s">
        <v>34</v>
      </c>
      <c r="E149" s="73">
        <f t="shared" si="12"/>
        <v>0</v>
      </c>
      <c r="F149" s="123">
        <v>0</v>
      </c>
      <c r="G149" s="297">
        <v>0</v>
      </c>
      <c r="H149" s="297"/>
      <c r="I149" s="297">
        <v>0</v>
      </c>
      <c r="J149" s="297"/>
      <c r="K149" s="297"/>
      <c r="L149" s="297"/>
      <c r="M149" s="124">
        <v>0</v>
      </c>
    </row>
    <row r="150" spans="1:13" ht="15.75" thickBot="1" x14ac:dyDescent="0.3">
      <c r="A150" s="749" t="s">
        <v>363</v>
      </c>
      <c r="B150" s="750"/>
      <c r="C150" s="750"/>
      <c r="D150" s="81"/>
      <c r="E150" s="77">
        <f t="shared" ref="E150:M150" si="13">SUM(E151:E170)</f>
        <v>0</v>
      </c>
      <c r="F150" s="78">
        <f t="shared" si="13"/>
        <v>0</v>
      </c>
      <c r="G150" s="290">
        <f t="shared" si="13"/>
        <v>0</v>
      </c>
      <c r="H150" s="290">
        <f t="shared" si="13"/>
        <v>0</v>
      </c>
      <c r="I150" s="290">
        <f t="shared" si="13"/>
        <v>0</v>
      </c>
      <c r="J150" s="290">
        <f t="shared" si="13"/>
        <v>0</v>
      </c>
      <c r="K150" s="290">
        <f t="shared" si="13"/>
        <v>0</v>
      </c>
      <c r="L150" s="290">
        <f t="shared" si="13"/>
        <v>0</v>
      </c>
      <c r="M150" s="290">
        <f t="shared" si="13"/>
        <v>0</v>
      </c>
    </row>
    <row r="151" spans="1:13" x14ac:dyDescent="0.25">
      <c r="A151" s="751" t="s">
        <v>365</v>
      </c>
      <c r="B151" s="752" t="s">
        <v>78</v>
      </c>
      <c r="C151" s="752">
        <v>633013</v>
      </c>
      <c r="D151" s="67" t="s">
        <v>25</v>
      </c>
      <c r="E151" s="64">
        <f t="shared" ref="E151:E170" si="14">SUM(F151:M151)</f>
        <v>0</v>
      </c>
      <c r="F151" s="125">
        <v>0</v>
      </c>
      <c r="G151" s="291">
        <v>0</v>
      </c>
      <c r="H151" s="291"/>
      <c r="I151" s="291">
        <v>0</v>
      </c>
      <c r="J151" s="291"/>
      <c r="K151" s="291"/>
      <c r="L151" s="291"/>
      <c r="M151" s="128">
        <v>0</v>
      </c>
    </row>
    <row r="152" spans="1:13" x14ac:dyDescent="0.25">
      <c r="A152" s="751"/>
      <c r="B152" s="752"/>
      <c r="C152" s="752"/>
      <c r="D152" s="68" t="s">
        <v>26</v>
      </c>
      <c r="E152" s="65">
        <f t="shared" si="14"/>
        <v>0</v>
      </c>
      <c r="F152" s="126">
        <v>0</v>
      </c>
      <c r="G152" s="292">
        <v>0</v>
      </c>
      <c r="H152" s="292"/>
      <c r="I152" s="292">
        <v>0</v>
      </c>
      <c r="J152" s="292"/>
      <c r="K152" s="292"/>
      <c r="L152" s="292"/>
      <c r="M152" s="129">
        <v>0</v>
      </c>
    </row>
    <row r="153" spans="1:13" x14ac:dyDescent="0.25">
      <c r="A153" s="751"/>
      <c r="B153" s="752"/>
      <c r="C153" s="752"/>
      <c r="D153" s="68" t="s">
        <v>27</v>
      </c>
      <c r="E153" s="65">
        <f t="shared" si="14"/>
        <v>0</v>
      </c>
      <c r="F153" s="126">
        <v>0</v>
      </c>
      <c r="G153" s="292">
        <v>0</v>
      </c>
      <c r="H153" s="292"/>
      <c r="I153" s="292">
        <v>0</v>
      </c>
      <c r="J153" s="292"/>
      <c r="K153" s="292"/>
      <c r="L153" s="292"/>
      <c r="M153" s="129">
        <v>0</v>
      </c>
    </row>
    <row r="154" spans="1:13" x14ac:dyDescent="0.25">
      <c r="A154" s="751"/>
      <c r="B154" s="752"/>
      <c r="C154" s="752"/>
      <c r="D154" s="68" t="s">
        <v>28</v>
      </c>
      <c r="E154" s="65">
        <f t="shared" si="14"/>
        <v>0</v>
      </c>
      <c r="F154" s="126">
        <v>0</v>
      </c>
      <c r="G154" s="292">
        <v>0</v>
      </c>
      <c r="H154" s="292"/>
      <c r="I154" s="292">
        <v>0</v>
      </c>
      <c r="J154" s="292"/>
      <c r="K154" s="292"/>
      <c r="L154" s="292"/>
      <c r="M154" s="129">
        <v>0</v>
      </c>
    </row>
    <row r="155" spans="1:13" x14ac:dyDescent="0.25">
      <c r="A155" s="751"/>
      <c r="B155" s="752"/>
      <c r="C155" s="752"/>
      <c r="D155" s="68" t="s">
        <v>29</v>
      </c>
      <c r="E155" s="65">
        <f t="shared" si="14"/>
        <v>0</v>
      </c>
      <c r="F155" s="126">
        <v>0</v>
      </c>
      <c r="G155" s="292">
        <v>0</v>
      </c>
      <c r="H155" s="292"/>
      <c r="I155" s="292">
        <v>0</v>
      </c>
      <c r="J155" s="292"/>
      <c r="K155" s="292"/>
      <c r="L155" s="292"/>
      <c r="M155" s="129">
        <v>0</v>
      </c>
    </row>
    <row r="156" spans="1:13" x14ac:dyDescent="0.25">
      <c r="A156" s="751"/>
      <c r="B156" s="752"/>
      <c r="C156" s="752"/>
      <c r="D156" s="68" t="s">
        <v>30</v>
      </c>
      <c r="E156" s="65">
        <f t="shared" si="14"/>
        <v>0</v>
      </c>
      <c r="F156" s="126">
        <v>0</v>
      </c>
      <c r="G156" s="292">
        <v>0</v>
      </c>
      <c r="H156" s="292"/>
      <c r="I156" s="292">
        <v>0</v>
      </c>
      <c r="J156" s="292"/>
      <c r="K156" s="292"/>
      <c r="L156" s="292"/>
      <c r="M156" s="129">
        <v>0</v>
      </c>
    </row>
    <row r="157" spans="1:13" x14ac:dyDescent="0.25">
      <c r="A157" s="751"/>
      <c r="B157" s="752"/>
      <c r="C157" s="752"/>
      <c r="D157" s="68" t="s">
        <v>31</v>
      </c>
      <c r="E157" s="65">
        <f t="shared" si="14"/>
        <v>0</v>
      </c>
      <c r="F157" s="126">
        <v>0</v>
      </c>
      <c r="G157" s="292">
        <v>0</v>
      </c>
      <c r="H157" s="292"/>
      <c r="I157" s="292">
        <v>0</v>
      </c>
      <c r="J157" s="292"/>
      <c r="K157" s="292"/>
      <c r="L157" s="292"/>
      <c r="M157" s="129">
        <v>0</v>
      </c>
    </row>
    <row r="158" spans="1:13" x14ac:dyDescent="0.25">
      <c r="A158" s="751"/>
      <c r="B158" s="752"/>
      <c r="C158" s="752"/>
      <c r="D158" s="68" t="s">
        <v>32</v>
      </c>
      <c r="E158" s="65">
        <f t="shared" si="14"/>
        <v>0</v>
      </c>
      <c r="F158" s="126">
        <v>0</v>
      </c>
      <c r="G158" s="292">
        <v>0</v>
      </c>
      <c r="H158" s="292"/>
      <c r="I158" s="292">
        <v>0</v>
      </c>
      <c r="J158" s="292"/>
      <c r="K158" s="292"/>
      <c r="L158" s="292"/>
      <c r="M158" s="129">
        <v>0</v>
      </c>
    </row>
    <row r="159" spans="1:13" x14ac:dyDescent="0.25">
      <c r="A159" s="751"/>
      <c r="B159" s="752"/>
      <c r="C159" s="752"/>
      <c r="D159" s="68" t="s">
        <v>33</v>
      </c>
      <c r="E159" s="65">
        <f t="shared" si="14"/>
        <v>0</v>
      </c>
      <c r="F159" s="126">
        <v>0</v>
      </c>
      <c r="G159" s="292">
        <v>0</v>
      </c>
      <c r="H159" s="292"/>
      <c r="I159" s="292">
        <v>0</v>
      </c>
      <c r="J159" s="292"/>
      <c r="K159" s="292"/>
      <c r="L159" s="292"/>
      <c r="M159" s="129">
        <v>0</v>
      </c>
    </row>
    <row r="160" spans="1:13" ht="15.75" thickBot="1" x14ac:dyDescent="0.3">
      <c r="A160" s="751"/>
      <c r="B160" s="752"/>
      <c r="C160" s="752"/>
      <c r="D160" s="69" t="s">
        <v>34</v>
      </c>
      <c r="E160" s="66">
        <f t="shared" si="14"/>
        <v>0</v>
      </c>
      <c r="F160" s="127">
        <v>0</v>
      </c>
      <c r="G160" s="293">
        <v>0</v>
      </c>
      <c r="H160" s="293"/>
      <c r="I160" s="293">
        <v>0</v>
      </c>
      <c r="J160" s="293"/>
      <c r="K160" s="293"/>
      <c r="L160" s="293"/>
      <c r="M160" s="130">
        <v>0</v>
      </c>
    </row>
    <row r="161" spans="1:13" x14ac:dyDescent="0.25">
      <c r="A161" s="751" t="s">
        <v>364</v>
      </c>
      <c r="B161" s="752"/>
      <c r="C161" s="752">
        <v>637031</v>
      </c>
      <c r="D161" s="67" t="s">
        <v>25</v>
      </c>
      <c r="E161" s="65">
        <f t="shared" si="14"/>
        <v>0</v>
      </c>
      <c r="F161" s="125">
        <v>0</v>
      </c>
      <c r="G161" s="291">
        <v>0</v>
      </c>
      <c r="H161" s="291"/>
      <c r="I161" s="291">
        <v>0</v>
      </c>
      <c r="J161" s="291"/>
      <c r="K161" s="291"/>
      <c r="L161" s="291"/>
      <c r="M161" s="128">
        <v>0</v>
      </c>
    </row>
    <row r="162" spans="1:13" x14ac:dyDescent="0.25">
      <c r="A162" s="751"/>
      <c r="B162" s="752"/>
      <c r="C162" s="752"/>
      <c r="D162" s="68" t="s">
        <v>26</v>
      </c>
      <c r="E162" s="65">
        <f t="shared" si="14"/>
        <v>0</v>
      </c>
      <c r="F162" s="126">
        <v>0</v>
      </c>
      <c r="G162" s="292">
        <v>0</v>
      </c>
      <c r="H162" s="292"/>
      <c r="I162" s="292">
        <v>0</v>
      </c>
      <c r="J162" s="292"/>
      <c r="K162" s="292"/>
      <c r="L162" s="292"/>
      <c r="M162" s="129">
        <v>0</v>
      </c>
    </row>
    <row r="163" spans="1:13" x14ac:dyDescent="0.25">
      <c r="A163" s="751"/>
      <c r="B163" s="752"/>
      <c r="C163" s="752"/>
      <c r="D163" s="68" t="s">
        <v>27</v>
      </c>
      <c r="E163" s="65">
        <f t="shared" si="14"/>
        <v>0</v>
      </c>
      <c r="F163" s="126">
        <v>0</v>
      </c>
      <c r="G163" s="292">
        <v>0</v>
      </c>
      <c r="H163" s="292"/>
      <c r="I163" s="292">
        <v>0</v>
      </c>
      <c r="J163" s="292"/>
      <c r="K163" s="292"/>
      <c r="L163" s="292"/>
      <c r="M163" s="129">
        <v>0</v>
      </c>
    </row>
    <row r="164" spans="1:13" x14ac:dyDescent="0.25">
      <c r="A164" s="751"/>
      <c r="B164" s="752"/>
      <c r="C164" s="752"/>
      <c r="D164" s="68" t="s">
        <v>28</v>
      </c>
      <c r="E164" s="65">
        <f t="shared" si="14"/>
        <v>0</v>
      </c>
      <c r="F164" s="126">
        <v>0</v>
      </c>
      <c r="G164" s="292">
        <v>0</v>
      </c>
      <c r="H164" s="292"/>
      <c r="I164" s="292">
        <v>0</v>
      </c>
      <c r="J164" s="292"/>
      <c r="K164" s="292" t="s">
        <v>165</v>
      </c>
      <c r="L164" s="292"/>
      <c r="M164" s="129">
        <v>0</v>
      </c>
    </row>
    <row r="165" spans="1:13" x14ac:dyDescent="0.25">
      <c r="A165" s="751"/>
      <c r="B165" s="752"/>
      <c r="C165" s="752"/>
      <c r="D165" s="68" t="s">
        <v>29</v>
      </c>
      <c r="E165" s="65">
        <f t="shared" si="14"/>
        <v>0</v>
      </c>
      <c r="F165" s="126">
        <v>0</v>
      </c>
      <c r="G165" s="292">
        <v>0</v>
      </c>
      <c r="H165" s="292"/>
      <c r="I165" s="292">
        <v>0</v>
      </c>
      <c r="J165" s="292"/>
      <c r="K165" s="292"/>
      <c r="L165" s="292"/>
      <c r="M165" s="129">
        <v>0</v>
      </c>
    </row>
    <row r="166" spans="1:13" x14ac:dyDescent="0.25">
      <c r="A166" s="751"/>
      <c r="B166" s="752"/>
      <c r="C166" s="752"/>
      <c r="D166" s="68" t="s">
        <v>30</v>
      </c>
      <c r="E166" s="65">
        <f t="shared" si="14"/>
        <v>0</v>
      </c>
      <c r="F166" s="126">
        <v>0</v>
      </c>
      <c r="G166" s="292">
        <v>0</v>
      </c>
      <c r="H166" s="292"/>
      <c r="I166" s="292">
        <v>0</v>
      </c>
      <c r="J166" s="292"/>
      <c r="K166" s="292"/>
      <c r="L166" s="292"/>
      <c r="M166" s="129">
        <v>0</v>
      </c>
    </row>
    <row r="167" spans="1:13" x14ac:dyDescent="0.25">
      <c r="A167" s="751"/>
      <c r="B167" s="752"/>
      <c r="C167" s="752"/>
      <c r="D167" s="68" t="s">
        <v>31</v>
      </c>
      <c r="E167" s="65">
        <f t="shared" si="14"/>
        <v>0</v>
      </c>
      <c r="F167" s="126">
        <v>0</v>
      </c>
      <c r="G167" s="292">
        <v>0</v>
      </c>
      <c r="H167" s="292"/>
      <c r="I167" s="292">
        <v>0</v>
      </c>
      <c r="J167" s="292"/>
      <c r="K167" s="292"/>
      <c r="L167" s="292"/>
      <c r="M167" s="129">
        <v>0</v>
      </c>
    </row>
    <row r="168" spans="1:13" x14ac:dyDescent="0.25">
      <c r="A168" s="751"/>
      <c r="B168" s="752"/>
      <c r="C168" s="752"/>
      <c r="D168" s="68" t="s">
        <v>32</v>
      </c>
      <c r="E168" s="65">
        <f t="shared" si="14"/>
        <v>0</v>
      </c>
      <c r="F168" s="126">
        <v>0</v>
      </c>
      <c r="G168" s="292">
        <v>0</v>
      </c>
      <c r="H168" s="292"/>
      <c r="I168" s="292">
        <v>0</v>
      </c>
      <c r="J168" s="292"/>
      <c r="K168" s="292"/>
      <c r="L168" s="292"/>
      <c r="M168" s="129">
        <v>0</v>
      </c>
    </row>
    <row r="169" spans="1:13" x14ac:dyDescent="0.25">
      <c r="A169" s="751"/>
      <c r="B169" s="752"/>
      <c r="C169" s="752"/>
      <c r="D169" s="68" t="s">
        <v>33</v>
      </c>
      <c r="E169" s="65">
        <f t="shared" si="14"/>
        <v>0</v>
      </c>
      <c r="F169" s="126">
        <v>0</v>
      </c>
      <c r="G169" s="292">
        <v>0</v>
      </c>
      <c r="H169" s="292"/>
      <c r="I169" s="292">
        <v>0</v>
      </c>
      <c r="J169" s="292"/>
      <c r="K169" s="292"/>
      <c r="L169" s="292"/>
      <c r="M169" s="129">
        <v>0</v>
      </c>
    </row>
    <row r="170" spans="1:13" ht="15.75" thickBot="1" x14ac:dyDescent="0.3">
      <c r="A170" s="751"/>
      <c r="B170" s="752"/>
      <c r="C170" s="752"/>
      <c r="D170" s="69" t="s">
        <v>34</v>
      </c>
      <c r="E170" s="66">
        <f t="shared" si="14"/>
        <v>0</v>
      </c>
      <c r="F170" s="127">
        <v>0</v>
      </c>
      <c r="G170" s="293">
        <v>0</v>
      </c>
      <c r="H170" s="293"/>
      <c r="I170" s="293">
        <v>0</v>
      </c>
      <c r="J170" s="293"/>
      <c r="K170" s="293"/>
      <c r="L170" s="293"/>
      <c r="M170" s="130">
        <v>0</v>
      </c>
    </row>
  </sheetData>
  <mergeCells count="52">
    <mergeCell ref="A130:A139"/>
    <mergeCell ref="B130:B139"/>
    <mergeCell ref="C130:C139"/>
    <mergeCell ref="A140:A149"/>
    <mergeCell ref="B140:B149"/>
    <mergeCell ref="C140:C149"/>
    <mergeCell ref="A119:A128"/>
    <mergeCell ref="B119:B128"/>
    <mergeCell ref="C119:C128"/>
    <mergeCell ref="A1:D1"/>
    <mergeCell ref="A99:A108"/>
    <mergeCell ref="B99:B108"/>
    <mergeCell ref="C99:C108"/>
    <mergeCell ref="A109:A118"/>
    <mergeCell ref="B109:B118"/>
    <mergeCell ref="C109:C118"/>
    <mergeCell ref="A79:A88"/>
    <mergeCell ref="B79:B88"/>
    <mergeCell ref="C79:C88"/>
    <mergeCell ref="A89:A98"/>
    <mergeCell ref="B89:B98"/>
    <mergeCell ref="C89:C98"/>
    <mergeCell ref="A56:C56"/>
    <mergeCell ref="A58:A67"/>
    <mergeCell ref="B58:B67"/>
    <mergeCell ref="C58:C67"/>
    <mergeCell ref="A68:A77"/>
    <mergeCell ref="B68:B77"/>
    <mergeCell ref="C68:C77"/>
    <mergeCell ref="A36:A45"/>
    <mergeCell ref="B36:B45"/>
    <mergeCell ref="C36:C45"/>
    <mergeCell ref="A3:C3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C5:C14"/>
    <mergeCell ref="A5:A14"/>
    <mergeCell ref="B5:B14"/>
    <mergeCell ref="A150:C150"/>
    <mergeCell ref="A151:A160"/>
    <mergeCell ref="B151:B160"/>
    <mergeCell ref="C151:C160"/>
    <mergeCell ref="A161:A170"/>
    <mergeCell ref="B161:B170"/>
    <mergeCell ref="C161:C170"/>
  </mergeCells>
  <pageMargins left="0.7" right="0.7" top="0.75" bottom="0.75" header="0.3" footer="0.3"/>
  <pageSetup paperSize="9" scale="29" orientation="portrait" r:id="rId1"/>
  <ignoredErrors>
    <ignoredError sqref="E25 E7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CC"/>
    <outlinePr summaryBelow="0" summaryRight="0"/>
  </sheetPr>
  <dimension ref="A1:N84"/>
  <sheetViews>
    <sheetView view="pageBreakPreview" topLeftCell="A31" zoomScale="90" zoomScaleNormal="85" zoomScaleSheetLayoutView="90" workbookViewId="0">
      <selection activeCell="F36" sqref="F36:K72"/>
    </sheetView>
  </sheetViews>
  <sheetFormatPr defaultColWidth="8.85546875" defaultRowHeight="15" outlineLevelRow="1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12" width="19.28515625" customWidth="1" outlineLevel="1"/>
    <col min="13" max="13" width="31" customWidth="1" outlineLevel="1"/>
    <col min="14" max="14" width="19" customWidth="1"/>
  </cols>
  <sheetData>
    <row r="1" spans="1:14" ht="63.75" customHeight="1" thickBot="1" x14ac:dyDescent="0.4">
      <c r="A1" s="747" t="s">
        <v>98</v>
      </c>
      <c r="B1" s="747"/>
      <c r="C1" s="747"/>
      <c r="D1" s="748"/>
      <c r="E1" s="70" t="s">
        <v>35</v>
      </c>
      <c r="F1" s="335" t="s">
        <v>392</v>
      </c>
      <c r="G1" s="335" t="s">
        <v>393</v>
      </c>
      <c r="H1" s="335" t="s">
        <v>395</v>
      </c>
      <c r="I1" s="335" t="s">
        <v>394</v>
      </c>
      <c r="J1" s="335" t="s">
        <v>396</v>
      </c>
      <c r="K1" s="335" t="s">
        <v>397</v>
      </c>
      <c r="L1" s="335" t="s">
        <v>398</v>
      </c>
      <c r="M1" s="335" t="s">
        <v>369</v>
      </c>
      <c r="N1" s="335" t="s">
        <v>362</v>
      </c>
    </row>
    <row r="2" spans="1:14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75" thickBot="1" x14ac:dyDescent="0.3">
      <c r="A3" s="756" t="s">
        <v>88</v>
      </c>
      <c r="B3" s="756"/>
      <c r="C3" s="756"/>
      <c r="D3" s="74"/>
      <c r="E3" s="77">
        <f t="shared" ref="E3:N3" si="0">SUM(E4:E33)</f>
        <v>893388.36</v>
      </c>
      <c r="F3" s="78">
        <f t="shared" si="0"/>
        <v>36000</v>
      </c>
      <c r="G3" s="290">
        <f t="shared" si="0"/>
        <v>1440</v>
      </c>
      <c r="H3" s="290">
        <f t="shared" si="0"/>
        <v>1800</v>
      </c>
      <c r="I3" s="290">
        <f t="shared" si="0"/>
        <v>600</v>
      </c>
      <c r="J3" s="290">
        <f t="shared" si="0"/>
        <v>8640</v>
      </c>
      <c r="K3" s="290">
        <f t="shared" si="0"/>
        <v>844908.36</v>
      </c>
      <c r="L3" s="290">
        <f t="shared" si="0"/>
        <v>0</v>
      </c>
      <c r="M3" s="290">
        <f t="shared" si="0"/>
        <v>0</v>
      </c>
      <c r="N3" s="290">
        <f t="shared" si="0"/>
        <v>0</v>
      </c>
    </row>
    <row r="4" spans="1:14" outlineLevel="1" x14ac:dyDescent="0.25">
      <c r="A4" s="751" t="s">
        <v>90</v>
      </c>
      <c r="B4" s="751" t="s">
        <v>93</v>
      </c>
      <c r="C4" s="752">
        <v>713002</v>
      </c>
      <c r="D4" s="67" t="s">
        <v>25</v>
      </c>
      <c r="E4" s="71">
        <f t="shared" ref="E4:E33" si="1">SUM(F4:N4)</f>
        <v>0</v>
      </c>
      <c r="F4" s="119">
        <v>0</v>
      </c>
      <c r="G4" s="295">
        <v>0</v>
      </c>
      <c r="H4" s="295">
        <v>0</v>
      </c>
      <c r="I4" s="295"/>
      <c r="J4" s="295"/>
      <c r="K4" s="295"/>
      <c r="L4" s="295"/>
      <c r="M4" s="295">
        <v>0</v>
      </c>
      <c r="N4" s="120">
        <v>0</v>
      </c>
    </row>
    <row r="5" spans="1:14" outlineLevel="1" x14ac:dyDescent="0.25">
      <c r="A5" s="751"/>
      <c r="B5" s="752"/>
      <c r="C5" s="752"/>
      <c r="D5" s="68" t="s">
        <v>26</v>
      </c>
      <c r="E5" s="72">
        <f t="shared" si="1"/>
        <v>891348.36</v>
      </c>
      <c r="F5" s="121">
        <v>36000</v>
      </c>
      <c r="G5" s="296">
        <v>0</v>
      </c>
      <c r="H5" s="296">
        <v>1800</v>
      </c>
      <c r="I5" s="296">
        <v>0</v>
      </c>
      <c r="J5" s="296">
        <v>8640</v>
      </c>
      <c r="K5" s="296">
        <v>844908.36</v>
      </c>
      <c r="L5" s="296">
        <v>0</v>
      </c>
      <c r="M5" s="296">
        <v>0</v>
      </c>
      <c r="N5" s="122">
        <v>0</v>
      </c>
    </row>
    <row r="6" spans="1:14" outlineLevel="1" x14ac:dyDescent="0.25">
      <c r="A6" s="751"/>
      <c r="B6" s="752"/>
      <c r="C6" s="752"/>
      <c r="D6" s="68" t="s">
        <v>27</v>
      </c>
      <c r="E6" s="72">
        <f t="shared" si="1"/>
        <v>0</v>
      </c>
      <c r="F6" s="121">
        <v>0</v>
      </c>
      <c r="G6" s="296">
        <v>0</v>
      </c>
      <c r="H6" s="296">
        <v>0</v>
      </c>
      <c r="I6" s="296"/>
      <c r="J6" s="296"/>
      <c r="K6" s="296"/>
      <c r="L6" s="296"/>
      <c r="M6" s="296">
        <v>0</v>
      </c>
      <c r="N6" s="122">
        <v>0</v>
      </c>
    </row>
    <row r="7" spans="1:14" outlineLevel="1" x14ac:dyDescent="0.25">
      <c r="A7" s="751"/>
      <c r="B7" s="752"/>
      <c r="C7" s="752"/>
      <c r="D7" s="68" t="s">
        <v>28</v>
      </c>
      <c r="E7" s="72">
        <f t="shared" si="1"/>
        <v>0</v>
      </c>
      <c r="F7" s="121">
        <v>0</v>
      </c>
      <c r="G7" s="296">
        <v>0</v>
      </c>
      <c r="H7" s="296">
        <v>0</v>
      </c>
      <c r="I7" s="296"/>
      <c r="J7" s="296"/>
      <c r="K7" s="296"/>
      <c r="L7" s="296"/>
      <c r="M7" s="296">
        <v>0</v>
      </c>
      <c r="N7" s="122">
        <v>0</v>
      </c>
    </row>
    <row r="8" spans="1:14" outlineLevel="1" x14ac:dyDescent="0.25">
      <c r="A8" s="751"/>
      <c r="B8" s="752"/>
      <c r="C8" s="752"/>
      <c r="D8" s="68" t="s">
        <v>29</v>
      </c>
      <c r="E8" s="72">
        <f t="shared" si="1"/>
        <v>0</v>
      </c>
      <c r="F8" s="121">
        <v>0</v>
      </c>
      <c r="G8" s="296">
        <v>0</v>
      </c>
      <c r="H8" s="296">
        <v>0</v>
      </c>
      <c r="I8" s="296"/>
      <c r="J8" s="296"/>
      <c r="K8" s="296"/>
      <c r="L8" s="296"/>
      <c r="M8" s="296">
        <v>0</v>
      </c>
      <c r="N8" s="122">
        <v>0</v>
      </c>
    </row>
    <row r="9" spans="1:14" outlineLevel="1" x14ac:dyDescent="0.25">
      <c r="A9" s="751"/>
      <c r="B9" s="752"/>
      <c r="C9" s="752"/>
      <c r="D9" s="68" t="s">
        <v>30</v>
      </c>
      <c r="E9" s="72">
        <f t="shared" si="1"/>
        <v>0</v>
      </c>
      <c r="F9" s="121">
        <v>0</v>
      </c>
      <c r="G9" s="296">
        <v>0</v>
      </c>
      <c r="H9" s="296">
        <v>0</v>
      </c>
      <c r="I9" s="296"/>
      <c r="J9" s="296"/>
      <c r="K9" s="296"/>
      <c r="L9" s="296"/>
      <c r="M9" s="296">
        <v>0</v>
      </c>
      <c r="N9" s="122">
        <v>0</v>
      </c>
    </row>
    <row r="10" spans="1:14" outlineLevel="1" x14ac:dyDescent="0.25">
      <c r="A10" s="751"/>
      <c r="B10" s="752"/>
      <c r="C10" s="752"/>
      <c r="D10" s="68" t="s">
        <v>31</v>
      </c>
      <c r="E10" s="72">
        <f t="shared" si="1"/>
        <v>0</v>
      </c>
      <c r="F10" s="121">
        <v>0</v>
      </c>
      <c r="G10" s="296">
        <v>0</v>
      </c>
      <c r="H10" s="296">
        <v>0</v>
      </c>
      <c r="I10" s="296"/>
      <c r="J10" s="296"/>
      <c r="K10" s="296"/>
      <c r="L10" s="296"/>
      <c r="M10" s="296">
        <v>0</v>
      </c>
      <c r="N10" s="122">
        <v>0</v>
      </c>
    </row>
    <row r="11" spans="1:14" outlineLevel="1" x14ac:dyDescent="0.25">
      <c r="A11" s="751"/>
      <c r="B11" s="752"/>
      <c r="C11" s="752"/>
      <c r="D11" s="68" t="s">
        <v>32</v>
      </c>
      <c r="E11" s="72">
        <f t="shared" si="1"/>
        <v>0</v>
      </c>
      <c r="F11" s="121">
        <v>0</v>
      </c>
      <c r="G11" s="296">
        <v>0</v>
      </c>
      <c r="H11" s="296">
        <v>0</v>
      </c>
      <c r="I11" s="296"/>
      <c r="J11" s="296"/>
      <c r="K11" s="296"/>
      <c r="L11" s="296"/>
      <c r="M11" s="296">
        <v>0</v>
      </c>
      <c r="N11" s="122">
        <v>0</v>
      </c>
    </row>
    <row r="12" spans="1:14" outlineLevel="1" x14ac:dyDescent="0.25">
      <c r="A12" s="751"/>
      <c r="B12" s="752"/>
      <c r="C12" s="752"/>
      <c r="D12" s="68" t="s">
        <v>33</v>
      </c>
      <c r="E12" s="72">
        <f t="shared" si="1"/>
        <v>0</v>
      </c>
      <c r="F12" s="121">
        <v>0</v>
      </c>
      <c r="G12" s="296">
        <v>0</v>
      </c>
      <c r="H12" s="296">
        <v>0</v>
      </c>
      <c r="I12" s="296"/>
      <c r="J12" s="296"/>
      <c r="K12" s="296"/>
      <c r="L12" s="296"/>
      <c r="M12" s="296">
        <v>0</v>
      </c>
      <c r="N12" s="122">
        <v>0</v>
      </c>
    </row>
    <row r="13" spans="1:14" ht="15.75" outlineLevel="1" thickBot="1" x14ac:dyDescent="0.3">
      <c r="A13" s="751"/>
      <c r="B13" s="752"/>
      <c r="C13" s="752"/>
      <c r="D13" s="69" t="s">
        <v>34</v>
      </c>
      <c r="E13" s="73">
        <f t="shared" si="1"/>
        <v>0</v>
      </c>
      <c r="F13" s="123">
        <v>0</v>
      </c>
      <c r="G13" s="297">
        <v>0</v>
      </c>
      <c r="H13" s="297">
        <v>0</v>
      </c>
      <c r="I13" s="297"/>
      <c r="J13" s="297"/>
      <c r="K13" s="297"/>
      <c r="L13" s="297"/>
      <c r="M13" s="297">
        <v>0</v>
      </c>
      <c r="N13" s="124">
        <v>0</v>
      </c>
    </row>
    <row r="14" spans="1:14" ht="15" customHeight="1" outlineLevel="1" x14ac:dyDescent="0.25">
      <c r="A14" s="751" t="s">
        <v>91</v>
      </c>
      <c r="B14" s="751" t="s">
        <v>115</v>
      </c>
      <c r="C14" s="752">
        <v>633002</v>
      </c>
      <c r="D14" s="67" t="s">
        <v>25</v>
      </c>
      <c r="E14" s="72">
        <f t="shared" si="1"/>
        <v>0</v>
      </c>
      <c r="F14" s="119">
        <v>0</v>
      </c>
      <c r="G14" s="295">
        <v>0</v>
      </c>
      <c r="H14" s="295">
        <v>0</v>
      </c>
      <c r="I14" s="295"/>
      <c r="J14" s="295"/>
      <c r="K14" s="295"/>
      <c r="L14" s="295"/>
      <c r="M14" s="295">
        <v>0</v>
      </c>
      <c r="N14" s="120">
        <v>0</v>
      </c>
    </row>
    <row r="15" spans="1:14" outlineLevel="1" x14ac:dyDescent="0.25">
      <c r="A15" s="751"/>
      <c r="B15" s="752"/>
      <c r="C15" s="752"/>
      <c r="D15" s="68" t="s">
        <v>26</v>
      </c>
      <c r="E15" s="72">
        <f t="shared" si="1"/>
        <v>2040</v>
      </c>
      <c r="F15" s="121">
        <v>0</v>
      </c>
      <c r="G15" s="296">
        <v>1440</v>
      </c>
      <c r="H15" s="296">
        <v>0</v>
      </c>
      <c r="I15" s="296">
        <v>600</v>
      </c>
      <c r="J15" s="296"/>
      <c r="K15" s="296"/>
      <c r="L15" s="296"/>
      <c r="M15" s="296">
        <v>0</v>
      </c>
      <c r="N15" s="122">
        <v>0</v>
      </c>
    </row>
    <row r="16" spans="1:14" outlineLevel="1" x14ac:dyDescent="0.25">
      <c r="A16" s="751"/>
      <c r="B16" s="752"/>
      <c r="C16" s="752"/>
      <c r="D16" s="68" t="s">
        <v>27</v>
      </c>
      <c r="E16" s="72">
        <f t="shared" si="1"/>
        <v>0</v>
      </c>
      <c r="F16" s="121">
        <v>0</v>
      </c>
      <c r="G16" s="296">
        <v>0</v>
      </c>
      <c r="H16" s="296">
        <v>0</v>
      </c>
      <c r="I16" s="296"/>
      <c r="J16" s="296"/>
      <c r="K16" s="296"/>
      <c r="L16" s="296"/>
      <c r="M16" s="296">
        <v>0</v>
      </c>
      <c r="N16" s="122">
        <v>0</v>
      </c>
    </row>
    <row r="17" spans="1:14" outlineLevel="1" x14ac:dyDescent="0.25">
      <c r="A17" s="751"/>
      <c r="B17" s="752"/>
      <c r="C17" s="752"/>
      <c r="D17" s="68" t="s">
        <v>28</v>
      </c>
      <c r="E17" s="72">
        <f t="shared" si="1"/>
        <v>0</v>
      </c>
      <c r="F17" s="121">
        <v>0</v>
      </c>
      <c r="G17" s="296">
        <v>0</v>
      </c>
      <c r="H17" s="296">
        <v>0</v>
      </c>
      <c r="I17" s="296"/>
      <c r="J17" s="296"/>
      <c r="K17" s="296"/>
      <c r="L17" s="296"/>
      <c r="M17" s="296">
        <v>0</v>
      </c>
      <c r="N17" s="122">
        <v>0</v>
      </c>
    </row>
    <row r="18" spans="1:14" outlineLevel="1" x14ac:dyDescent="0.25">
      <c r="A18" s="751"/>
      <c r="B18" s="752"/>
      <c r="C18" s="752"/>
      <c r="D18" s="68" t="s">
        <v>29</v>
      </c>
      <c r="E18" s="72">
        <f t="shared" si="1"/>
        <v>0</v>
      </c>
      <c r="F18" s="121">
        <v>0</v>
      </c>
      <c r="G18" s="296">
        <v>0</v>
      </c>
      <c r="H18" s="296">
        <v>0</v>
      </c>
      <c r="I18" s="296"/>
      <c r="J18" s="296"/>
      <c r="K18" s="296"/>
      <c r="L18" s="296"/>
      <c r="M18" s="296">
        <v>0</v>
      </c>
      <c r="N18" s="122">
        <v>0</v>
      </c>
    </row>
    <row r="19" spans="1:14" outlineLevel="1" x14ac:dyDescent="0.25">
      <c r="A19" s="751"/>
      <c r="B19" s="752"/>
      <c r="C19" s="752"/>
      <c r="D19" s="68" t="s">
        <v>30</v>
      </c>
      <c r="E19" s="72">
        <f t="shared" si="1"/>
        <v>0</v>
      </c>
      <c r="F19" s="121">
        <v>0</v>
      </c>
      <c r="G19" s="296">
        <v>0</v>
      </c>
      <c r="H19" s="296">
        <v>0</v>
      </c>
      <c r="I19" s="296"/>
      <c r="J19" s="296"/>
      <c r="K19" s="296"/>
      <c r="L19" s="296"/>
      <c r="M19" s="296">
        <v>0</v>
      </c>
      <c r="N19" s="122">
        <v>0</v>
      </c>
    </row>
    <row r="20" spans="1:14" outlineLevel="1" x14ac:dyDescent="0.25">
      <c r="A20" s="751"/>
      <c r="B20" s="752"/>
      <c r="C20" s="752"/>
      <c r="D20" s="68" t="s">
        <v>31</v>
      </c>
      <c r="E20" s="72">
        <f t="shared" si="1"/>
        <v>0</v>
      </c>
      <c r="F20" s="121">
        <v>0</v>
      </c>
      <c r="G20" s="296">
        <v>0</v>
      </c>
      <c r="H20" s="296">
        <v>0</v>
      </c>
      <c r="I20" s="296"/>
      <c r="J20" s="296"/>
      <c r="K20" s="296"/>
      <c r="L20" s="296"/>
      <c r="M20" s="296">
        <v>0</v>
      </c>
      <c r="N20" s="122">
        <v>0</v>
      </c>
    </row>
    <row r="21" spans="1:14" outlineLevel="1" x14ac:dyDescent="0.25">
      <c r="A21" s="751"/>
      <c r="B21" s="752"/>
      <c r="C21" s="752"/>
      <c r="D21" s="68" t="s">
        <v>32</v>
      </c>
      <c r="E21" s="72">
        <f t="shared" si="1"/>
        <v>0</v>
      </c>
      <c r="F21" s="121">
        <v>0</v>
      </c>
      <c r="G21" s="296">
        <v>0</v>
      </c>
      <c r="H21" s="296">
        <v>0</v>
      </c>
      <c r="I21" s="296"/>
      <c r="J21" s="296"/>
      <c r="K21" s="296"/>
      <c r="L21" s="296"/>
      <c r="M21" s="296">
        <v>0</v>
      </c>
      <c r="N21" s="122">
        <v>0</v>
      </c>
    </row>
    <row r="22" spans="1:14" outlineLevel="1" x14ac:dyDescent="0.25">
      <c r="A22" s="751"/>
      <c r="B22" s="752"/>
      <c r="C22" s="752"/>
      <c r="D22" s="68" t="s">
        <v>33</v>
      </c>
      <c r="E22" s="72">
        <f t="shared" si="1"/>
        <v>0</v>
      </c>
      <c r="F22" s="121">
        <v>0</v>
      </c>
      <c r="G22" s="296">
        <v>0</v>
      </c>
      <c r="H22" s="296">
        <v>0</v>
      </c>
      <c r="I22" s="296"/>
      <c r="J22" s="296"/>
      <c r="K22" s="296"/>
      <c r="L22" s="296"/>
      <c r="M22" s="296">
        <v>0</v>
      </c>
      <c r="N22" s="122">
        <v>0</v>
      </c>
    </row>
    <row r="23" spans="1:14" ht="15.75" outlineLevel="1" thickBot="1" x14ac:dyDescent="0.3">
      <c r="A23" s="751"/>
      <c r="B23" s="752"/>
      <c r="C23" s="752"/>
      <c r="D23" s="69" t="s">
        <v>34</v>
      </c>
      <c r="E23" s="73">
        <f t="shared" si="1"/>
        <v>0</v>
      </c>
      <c r="F23" s="123">
        <v>0</v>
      </c>
      <c r="G23" s="297">
        <v>0</v>
      </c>
      <c r="H23" s="297">
        <v>0</v>
      </c>
      <c r="I23" s="297"/>
      <c r="J23" s="297"/>
      <c r="K23" s="297"/>
      <c r="L23" s="297"/>
      <c r="M23" s="297">
        <v>0</v>
      </c>
      <c r="N23" s="124">
        <v>0</v>
      </c>
    </row>
    <row r="24" spans="1:14" outlineLevel="1" x14ac:dyDescent="0.25">
      <c r="A24" s="751" t="s">
        <v>92</v>
      </c>
      <c r="B24" s="752" t="s">
        <v>78</v>
      </c>
      <c r="C24" s="752">
        <v>637001</v>
      </c>
      <c r="D24" s="67" t="s">
        <v>25</v>
      </c>
      <c r="E24" s="72">
        <f t="shared" si="1"/>
        <v>0</v>
      </c>
      <c r="F24" s="119">
        <v>0</v>
      </c>
      <c r="G24" s="295">
        <v>0</v>
      </c>
      <c r="H24" s="295">
        <v>0</v>
      </c>
      <c r="I24" s="295"/>
      <c r="J24" s="295"/>
      <c r="K24" s="295"/>
      <c r="L24" s="295"/>
      <c r="M24" s="295">
        <v>0</v>
      </c>
      <c r="N24" s="120">
        <v>0</v>
      </c>
    </row>
    <row r="25" spans="1:14" outlineLevel="1" x14ac:dyDescent="0.25">
      <c r="A25" s="751"/>
      <c r="B25" s="752"/>
      <c r="C25" s="752"/>
      <c r="D25" s="68" t="s">
        <v>26</v>
      </c>
      <c r="E25" s="72">
        <f t="shared" si="1"/>
        <v>0</v>
      </c>
      <c r="F25" s="121">
        <v>0</v>
      </c>
      <c r="G25" s="296">
        <v>0</v>
      </c>
      <c r="H25" s="296">
        <v>0</v>
      </c>
      <c r="I25" s="296"/>
      <c r="J25" s="296"/>
      <c r="K25" s="296"/>
      <c r="L25" s="296"/>
      <c r="M25" s="296">
        <v>0</v>
      </c>
      <c r="N25" s="122">
        <v>0</v>
      </c>
    </row>
    <row r="26" spans="1:14" outlineLevel="1" x14ac:dyDescent="0.25">
      <c r="A26" s="751"/>
      <c r="B26" s="752"/>
      <c r="C26" s="752"/>
      <c r="D26" s="68" t="s">
        <v>27</v>
      </c>
      <c r="E26" s="72">
        <f t="shared" si="1"/>
        <v>0</v>
      </c>
      <c r="F26" s="121">
        <v>0</v>
      </c>
      <c r="G26" s="296">
        <v>0</v>
      </c>
      <c r="H26" s="296">
        <v>0</v>
      </c>
      <c r="I26" s="296"/>
      <c r="J26" s="296"/>
      <c r="K26" s="296"/>
      <c r="L26" s="296"/>
      <c r="M26" s="296">
        <v>0</v>
      </c>
      <c r="N26" s="122">
        <v>0</v>
      </c>
    </row>
    <row r="27" spans="1:14" outlineLevel="1" x14ac:dyDescent="0.25">
      <c r="A27" s="751"/>
      <c r="B27" s="752"/>
      <c r="C27" s="752"/>
      <c r="D27" s="68" t="s">
        <v>28</v>
      </c>
      <c r="E27" s="72">
        <f t="shared" si="1"/>
        <v>0</v>
      </c>
      <c r="F27" s="121">
        <v>0</v>
      </c>
      <c r="G27" s="296">
        <v>0</v>
      </c>
      <c r="H27" s="296">
        <v>0</v>
      </c>
      <c r="I27" s="296"/>
      <c r="J27" s="296"/>
      <c r="K27" s="296"/>
      <c r="L27" s="296"/>
      <c r="M27" s="296">
        <v>0</v>
      </c>
      <c r="N27" s="122">
        <v>0</v>
      </c>
    </row>
    <row r="28" spans="1:14" outlineLevel="1" x14ac:dyDescent="0.25">
      <c r="A28" s="751"/>
      <c r="B28" s="752"/>
      <c r="C28" s="752"/>
      <c r="D28" s="68" t="s">
        <v>29</v>
      </c>
      <c r="E28" s="72">
        <f t="shared" si="1"/>
        <v>0</v>
      </c>
      <c r="F28" s="121">
        <v>0</v>
      </c>
      <c r="G28" s="296">
        <v>0</v>
      </c>
      <c r="H28" s="296">
        <v>0</v>
      </c>
      <c r="I28" s="296"/>
      <c r="J28" s="296"/>
      <c r="K28" s="296"/>
      <c r="L28" s="296"/>
      <c r="M28" s="296">
        <v>0</v>
      </c>
      <c r="N28" s="122">
        <v>0</v>
      </c>
    </row>
    <row r="29" spans="1:14" outlineLevel="1" x14ac:dyDescent="0.25">
      <c r="A29" s="751"/>
      <c r="B29" s="752"/>
      <c r="C29" s="752"/>
      <c r="D29" s="68" t="s">
        <v>30</v>
      </c>
      <c r="E29" s="72">
        <f t="shared" si="1"/>
        <v>0</v>
      </c>
      <c r="F29" s="121">
        <v>0</v>
      </c>
      <c r="G29" s="296">
        <v>0</v>
      </c>
      <c r="H29" s="296">
        <v>0</v>
      </c>
      <c r="I29" s="296"/>
      <c r="J29" s="296"/>
      <c r="K29" s="296"/>
      <c r="L29" s="296"/>
      <c r="M29" s="296">
        <v>0</v>
      </c>
      <c r="N29" s="122">
        <v>0</v>
      </c>
    </row>
    <row r="30" spans="1:14" outlineLevel="1" x14ac:dyDescent="0.25">
      <c r="A30" s="751"/>
      <c r="B30" s="752"/>
      <c r="C30" s="752"/>
      <c r="D30" s="68" t="s">
        <v>31</v>
      </c>
      <c r="E30" s="72">
        <f t="shared" si="1"/>
        <v>0</v>
      </c>
      <c r="F30" s="121">
        <v>0</v>
      </c>
      <c r="G30" s="296">
        <v>0</v>
      </c>
      <c r="H30" s="296">
        <v>0</v>
      </c>
      <c r="I30" s="296"/>
      <c r="J30" s="296"/>
      <c r="K30" s="296"/>
      <c r="L30" s="296"/>
      <c r="M30" s="296">
        <v>0</v>
      </c>
      <c r="N30" s="122">
        <v>0</v>
      </c>
    </row>
    <row r="31" spans="1:14" outlineLevel="1" x14ac:dyDescent="0.25">
      <c r="A31" s="751"/>
      <c r="B31" s="752"/>
      <c r="C31" s="752"/>
      <c r="D31" s="68" t="s">
        <v>32</v>
      </c>
      <c r="E31" s="72">
        <f t="shared" si="1"/>
        <v>0</v>
      </c>
      <c r="F31" s="121">
        <v>0</v>
      </c>
      <c r="G31" s="296">
        <v>0</v>
      </c>
      <c r="H31" s="296">
        <v>0</v>
      </c>
      <c r="I31" s="296"/>
      <c r="J31" s="296"/>
      <c r="K31" s="296"/>
      <c r="L31" s="296"/>
      <c r="M31" s="296">
        <v>0</v>
      </c>
      <c r="N31" s="122">
        <v>0</v>
      </c>
    </row>
    <row r="32" spans="1:14" outlineLevel="1" x14ac:dyDescent="0.25">
      <c r="A32" s="751"/>
      <c r="B32" s="752"/>
      <c r="C32" s="752"/>
      <c r="D32" s="68" t="s">
        <v>33</v>
      </c>
      <c r="E32" s="72">
        <f t="shared" si="1"/>
        <v>0</v>
      </c>
      <c r="F32" s="121">
        <v>0</v>
      </c>
      <c r="G32" s="296">
        <v>0</v>
      </c>
      <c r="H32" s="296">
        <v>0</v>
      </c>
      <c r="I32" s="296"/>
      <c r="J32" s="296"/>
      <c r="K32" s="296"/>
      <c r="L32" s="296"/>
      <c r="M32" s="296">
        <v>0</v>
      </c>
      <c r="N32" s="122">
        <v>0</v>
      </c>
    </row>
    <row r="33" spans="1:14" ht="15.75" outlineLevel="1" thickBot="1" x14ac:dyDescent="0.3">
      <c r="A33" s="751"/>
      <c r="B33" s="752"/>
      <c r="C33" s="752"/>
      <c r="D33" s="69" t="s">
        <v>34</v>
      </c>
      <c r="E33" s="72">
        <f t="shared" si="1"/>
        <v>0</v>
      </c>
      <c r="F33" s="123">
        <v>0</v>
      </c>
      <c r="G33" s="297">
        <v>0</v>
      </c>
      <c r="H33" s="297">
        <v>0</v>
      </c>
      <c r="I33" s="297"/>
      <c r="J33" s="297"/>
      <c r="K33" s="297"/>
      <c r="L33" s="297"/>
      <c r="M33" s="297">
        <v>0</v>
      </c>
      <c r="N33" s="124">
        <v>0</v>
      </c>
    </row>
    <row r="34" spans="1:14" ht="15.75" thickBot="1" x14ac:dyDescent="0.3">
      <c r="A34" s="753" t="s">
        <v>89</v>
      </c>
      <c r="B34" s="753"/>
      <c r="C34" s="753"/>
      <c r="D34" s="76"/>
      <c r="E34" s="77">
        <f t="shared" ref="E34:N34" si="2">SUM(E35:E84)</f>
        <v>59520</v>
      </c>
      <c r="F34" s="78">
        <f t="shared" si="2"/>
        <v>7440</v>
      </c>
      <c r="G34" s="290">
        <f t="shared" si="2"/>
        <v>7440</v>
      </c>
      <c r="H34" s="290">
        <f t="shared" si="2"/>
        <v>7440</v>
      </c>
      <c r="I34" s="290">
        <f t="shared" si="2"/>
        <v>7440</v>
      </c>
      <c r="J34" s="290">
        <f t="shared" si="2"/>
        <v>7440</v>
      </c>
      <c r="K34" s="290">
        <f t="shared" si="2"/>
        <v>10320</v>
      </c>
      <c r="L34" s="290">
        <f t="shared" si="2"/>
        <v>6000</v>
      </c>
      <c r="M34" s="290">
        <f t="shared" si="2"/>
        <v>6000</v>
      </c>
      <c r="N34" s="290">
        <f t="shared" si="2"/>
        <v>0</v>
      </c>
    </row>
    <row r="35" spans="1:14" outlineLevel="1" x14ac:dyDescent="0.25">
      <c r="A35" s="751" t="s">
        <v>94</v>
      </c>
      <c r="B35" s="752" t="s">
        <v>81</v>
      </c>
      <c r="C35" s="752">
        <v>635002</v>
      </c>
      <c r="D35" s="67" t="s">
        <v>25</v>
      </c>
      <c r="E35" s="71">
        <f t="shared" ref="E35:E84" si="3">SUM(F35:N35)</f>
        <v>0</v>
      </c>
      <c r="F35" s="119">
        <v>0</v>
      </c>
      <c r="G35" s="295">
        <v>0</v>
      </c>
      <c r="H35" s="295">
        <v>0</v>
      </c>
      <c r="I35" s="295"/>
      <c r="J35" s="295"/>
      <c r="K35" s="295"/>
      <c r="L35" s="295"/>
      <c r="M35" s="295">
        <v>0</v>
      </c>
      <c r="N35" s="120">
        <v>0</v>
      </c>
    </row>
    <row r="36" spans="1:14" outlineLevel="1" x14ac:dyDescent="0.25">
      <c r="A36" s="751"/>
      <c r="B36" s="752"/>
      <c r="C36" s="752"/>
      <c r="D36" s="68" t="s">
        <v>26</v>
      </c>
      <c r="E36" s="72">
        <f t="shared" si="3"/>
        <v>1200</v>
      </c>
      <c r="F36" s="648">
        <v>120</v>
      </c>
      <c r="G36" s="648">
        <v>120</v>
      </c>
      <c r="H36" s="648">
        <v>120</v>
      </c>
      <c r="I36" s="648">
        <v>120</v>
      </c>
      <c r="J36" s="648">
        <v>120</v>
      </c>
      <c r="K36" s="648">
        <v>600</v>
      </c>
      <c r="L36" s="296"/>
      <c r="M36" s="296">
        <v>0</v>
      </c>
      <c r="N36" s="122">
        <v>0</v>
      </c>
    </row>
    <row r="37" spans="1:14" outlineLevel="1" x14ac:dyDescent="0.25">
      <c r="A37" s="751"/>
      <c r="B37" s="752"/>
      <c r="C37" s="752"/>
      <c r="D37" s="68" t="s">
        <v>27</v>
      </c>
      <c r="E37" s="72">
        <f t="shared" si="3"/>
        <v>1200</v>
      </c>
      <c r="F37" s="648">
        <v>120</v>
      </c>
      <c r="G37" s="648">
        <v>120</v>
      </c>
      <c r="H37" s="648">
        <v>120</v>
      </c>
      <c r="I37" s="648">
        <v>120</v>
      </c>
      <c r="J37" s="648">
        <v>120</v>
      </c>
      <c r="K37" s="648">
        <v>600</v>
      </c>
      <c r="L37" s="296"/>
      <c r="M37" s="296">
        <v>0</v>
      </c>
      <c r="N37" s="122">
        <v>0</v>
      </c>
    </row>
    <row r="38" spans="1:14" outlineLevel="1" x14ac:dyDescent="0.25">
      <c r="A38" s="751"/>
      <c r="B38" s="752"/>
      <c r="C38" s="752"/>
      <c r="D38" s="68" t="s">
        <v>28</v>
      </c>
      <c r="E38" s="72">
        <f t="shared" si="3"/>
        <v>1200</v>
      </c>
      <c r="F38" s="648">
        <v>120</v>
      </c>
      <c r="G38" s="648">
        <v>120</v>
      </c>
      <c r="H38" s="648">
        <v>120</v>
      </c>
      <c r="I38" s="648">
        <v>120</v>
      </c>
      <c r="J38" s="648">
        <v>120</v>
      </c>
      <c r="K38" s="648">
        <v>600</v>
      </c>
      <c r="L38" s="296"/>
      <c r="M38" s="296">
        <v>0</v>
      </c>
      <c r="N38" s="122">
        <v>0</v>
      </c>
    </row>
    <row r="39" spans="1:14" outlineLevel="1" x14ac:dyDescent="0.25">
      <c r="A39" s="751"/>
      <c r="B39" s="752"/>
      <c r="C39" s="752"/>
      <c r="D39" s="68" t="s">
        <v>29</v>
      </c>
      <c r="E39" s="72">
        <f t="shared" si="3"/>
        <v>1200</v>
      </c>
      <c r="F39" s="648">
        <v>120</v>
      </c>
      <c r="G39" s="648">
        <v>120</v>
      </c>
      <c r="H39" s="648">
        <v>120</v>
      </c>
      <c r="I39" s="648">
        <v>120</v>
      </c>
      <c r="J39" s="648">
        <v>120</v>
      </c>
      <c r="K39" s="648">
        <v>600</v>
      </c>
      <c r="L39" s="296"/>
      <c r="M39" s="296">
        <v>0</v>
      </c>
      <c r="N39" s="122">
        <v>0</v>
      </c>
    </row>
    <row r="40" spans="1:14" outlineLevel="1" x14ac:dyDescent="0.25">
      <c r="A40" s="751"/>
      <c r="B40" s="752"/>
      <c r="C40" s="752"/>
      <c r="D40" s="68" t="s">
        <v>30</v>
      </c>
      <c r="E40" s="72">
        <f t="shared" si="3"/>
        <v>1200</v>
      </c>
      <c r="F40" s="648">
        <v>120</v>
      </c>
      <c r="G40" s="648">
        <v>120</v>
      </c>
      <c r="H40" s="648">
        <v>120</v>
      </c>
      <c r="I40" s="648">
        <v>120</v>
      </c>
      <c r="J40" s="648">
        <v>120</v>
      </c>
      <c r="K40" s="648">
        <v>600</v>
      </c>
      <c r="L40" s="296"/>
      <c r="M40" s="296">
        <v>0</v>
      </c>
      <c r="N40" s="122">
        <v>0</v>
      </c>
    </row>
    <row r="41" spans="1:14" outlineLevel="1" x14ac:dyDescent="0.25">
      <c r="A41" s="751"/>
      <c r="B41" s="752"/>
      <c r="C41" s="752"/>
      <c r="D41" s="68" t="s">
        <v>31</v>
      </c>
      <c r="E41" s="72">
        <f t="shared" si="3"/>
        <v>1200</v>
      </c>
      <c r="F41" s="648">
        <v>120</v>
      </c>
      <c r="G41" s="648">
        <v>120</v>
      </c>
      <c r="H41" s="648">
        <v>120</v>
      </c>
      <c r="I41" s="648">
        <v>120</v>
      </c>
      <c r="J41" s="648">
        <v>120</v>
      </c>
      <c r="K41" s="648">
        <v>600</v>
      </c>
      <c r="L41" s="296"/>
      <c r="M41" s="296">
        <v>0</v>
      </c>
      <c r="N41" s="122">
        <v>0</v>
      </c>
    </row>
    <row r="42" spans="1:14" outlineLevel="1" x14ac:dyDescent="0.25">
      <c r="A42" s="751"/>
      <c r="B42" s="752"/>
      <c r="C42" s="752"/>
      <c r="D42" s="68" t="s">
        <v>32</v>
      </c>
      <c r="E42" s="72">
        <f t="shared" si="3"/>
        <v>0</v>
      </c>
      <c r="F42" s="648">
        <v>0</v>
      </c>
      <c r="G42" s="648">
        <v>0</v>
      </c>
      <c r="H42" s="649">
        <v>0</v>
      </c>
      <c r="I42" s="649"/>
      <c r="J42" s="649"/>
      <c r="K42" s="649"/>
      <c r="L42" s="296"/>
      <c r="M42" s="296">
        <v>0</v>
      </c>
      <c r="N42" s="122">
        <v>0</v>
      </c>
    </row>
    <row r="43" spans="1:14" outlineLevel="1" x14ac:dyDescent="0.25">
      <c r="A43" s="751"/>
      <c r="B43" s="752"/>
      <c r="C43" s="752"/>
      <c r="D43" s="68" t="s">
        <v>33</v>
      </c>
      <c r="E43" s="72">
        <f t="shared" si="3"/>
        <v>0</v>
      </c>
      <c r="F43" s="648">
        <v>0</v>
      </c>
      <c r="G43" s="648">
        <v>0</v>
      </c>
      <c r="H43" s="649">
        <v>0</v>
      </c>
      <c r="I43" s="649"/>
      <c r="J43" s="649"/>
      <c r="K43" s="649"/>
      <c r="L43" s="296"/>
      <c r="M43" s="296">
        <v>0</v>
      </c>
      <c r="N43" s="122">
        <v>0</v>
      </c>
    </row>
    <row r="44" spans="1:14" ht="15.75" outlineLevel="1" thickBot="1" x14ac:dyDescent="0.3">
      <c r="A44" s="751"/>
      <c r="B44" s="752"/>
      <c r="C44" s="752"/>
      <c r="D44" s="69" t="s">
        <v>34</v>
      </c>
      <c r="E44" s="73">
        <f t="shared" si="3"/>
        <v>0</v>
      </c>
      <c r="F44" s="648">
        <v>0</v>
      </c>
      <c r="G44" s="648">
        <v>0</v>
      </c>
      <c r="H44" s="650">
        <v>0</v>
      </c>
      <c r="I44" s="650"/>
      <c r="J44" s="650"/>
      <c r="K44" s="650"/>
      <c r="L44" s="297"/>
      <c r="M44" s="297">
        <v>0</v>
      </c>
      <c r="N44" s="124">
        <v>0</v>
      </c>
    </row>
    <row r="45" spans="1:14" outlineLevel="1" x14ac:dyDescent="0.25">
      <c r="A45" s="751" t="s">
        <v>95</v>
      </c>
      <c r="B45" s="751" t="s">
        <v>93</v>
      </c>
      <c r="C45" s="752">
        <v>718002</v>
      </c>
      <c r="D45" s="67" t="s">
        <v>25</v>
      </c>
      <c r="E45" s="72">
        <f t="shared" si="3"/>
        <v>0</v>
      </c>
      <c r="F45" s="651">
        <v>0</v>
      </c>
      <c r="G45" s="652">
        <v>0</v>
      </c>
      <c r="H45" s="652">
        <v>0</v>
      </c>
      <c r="I45" s="652"/>
      <c r="J45" s="652"/>
      <c r="K45" s="652"/>
      <c r="L45" s="295"/>
      <c r="M45" s="295">
        <v>0</v>
      </c>
      <c r="N45" s="120">
        <v>0</v>
      </c>
    </row>
    <row r="46" spans="1:14" outlineLevel="1" x14ac:dyDescent="0.25">
      <c r="A46" s="751"/>
      <c r="B46" s="752"/>
      <c r="C46" s="752"/>
      <c r="D46" s="68" t="s">
        <v>26</v>
      </c>
      <c r="E46" s="72">
        <f t="shared" si="3"/>
        <v>0</v>
      </c>
      <c r="F46" s="648">
        <v>0</v>
      </c>
      <c r="G46" s="649">
        <v>0</v>
      </c>
      <c r="H46" s="649">
        <v>0</v>
      </c>
      <c r="I46" s="649"/>
      <c r="J46" s="649"/>
      <c r="K46" s="649"/>
      <c r="L46" s="296"/>
      <c r="M46" s="296">
        <v>0</v>
      </c>
      <c r="N46" s="122">
        <v>0</v>
      </c>
    </row>
    <row r="47" spans="1:14" outlineLevel="1" x14ac:dyDescent="0.25">
      <c r="A47" s="751"/>
      <c r="B47" s="752"/>
      <c r="C47" s="752"/>
      <c r="D47" s="68" t="s">
        <v>27</v>
      </c>
      <c r="E47" s="72">
        <f t="shared" si="3"/>
        <v>0</v>
      </c>
      <c r="F47" s="648">
        <v>0</v>
      </c>
      <c r="G47" s="649">
        <v>0</v>
      </c>
      <c r="H47" s="649">
        <v>0</v>
      </c>
      <c r="I47" s="649"/>
      <c r="J47" s="649"/>
      <c r="K47" s="649"/>
      <c r="L47" s="296"/>
      <c r="M47" s="296">
        <v>0</v>
      </c>
      <c r="N47" s="122">
        <v>0</v>
      </c>
    </row>
    <row r="48" spans="1:14" outlineLevel="1" x14ac:dyDescent="0.25">
      <c r="A48" s="751"/>
      <c r="B48" s="752"/>
      <c r="C48" s="752"/>
      <c r="D48" s="68" t="s">
        <v>28</v>
      </c>
      <c r="E48" s="72">
        <f t="shared" si="3"/>
        <v>0</v>
      </c>
      <c r="F48" s="648">
        <v>0</v>
      </c>
      <c r="G48" s="649">
        <v>0</v>
      </c>
      <c r="H48" s="649">
        <v>0</v>
      </c>
      <c r="I48" s="649"/>
      <c r="J48" s="649"/>
      <c r="K48" s="649"/>
      <c r="L48" s="296"/>
      <c r="M48" s="296">
        <v>0</v>
      </c>
      <c r="N48" s="122">
        <v>0</v>
      </c>
    </row>
    <row r="49" spans="1:14" outlineLevel="1" x14ac:dyDescent="0.25">
      <c r="A49" s="751"/>
      <c r="B49" s="752"/>
      <c r="C49" s="752"/>
      <c r="D49" s="68" t="s">
        <v>29</v>
      </c>
      <c r="E49" s="72">
        <f t="shared" si="3"/>
        <v>0</v>
      </c>
      <c r="F49" s="648">
        <v>0</v>
      </c>
      <c r="G49" s="649">
        <v>0</v>
      </c>
      <c r="H49" s="649">
        <v>0</v>
      </c>
      <c r="I49" s="649"/>
      <c r="J49" s="649"/>
      <c r="K49" s="649"/>
      <c r="L49" s="296"/>
      <c r="M49" s="296">
        <v>0</v>
      </c>
      <c r="N49" s="122">
        <v>0</v>
      </c>
    </row>
    <row r="50" spans="1:14" outlineLevel="1" x14ac:dyDescent="0.25">
      <c r="A50" s="751"/>
      <c r="B50" s="752"/>
      <c r="C50" s="752"/>
      <c r="D50" s="68" t="s">
        <v>30</v>
      </c>
      <c r="E50" s="72">
        <f t="shared" si="3"/>
        <v>0</v>
      </c>
      <c r="F50" s="648">
        <v>0</v>
      </c>
      <c r="G50" s="649">
        <v>0</v>
      </c>
      <c r="H50" s="649">
        <v>0</v>
      </c>
      <c r="I50" s="649"/>
      <c r="J50" s="649"/>
      <c r="K50" s="649"/>
      <c r="L50" s="296"/>
      <c r="M50" s="296">
        <v>0</v>
      </c>
      <c r="N50" s="122">
        <v>0</v>
      </c>
    </row>
    <row r="51" spans="1:14" outlineLevel="1" x14ac:dyDescent="0.25">
      <c r="A51" s="751"/>
      <c r="B51" s="752"/>
      <c r="C51" s="752"/>
      <c r="D51" s="68" t="s">
        <v>31</v>
      </c>
      <c r="E51" s="72">
        <f t="shared" si="3"/>
        <v>0</v>
      </c>
      <c r="F51" s="648">
        <v>0</v>
      </c>
      <c r="G51" s="649">
        <v>0</v>
      </c>
      <c r="H51" s="649">
        <v>0</v>
      </c>
      <c r="I51" s="649"/>
      <c r="J51" s="649"/>
      <c r="K51" s="649"/>
      <c r="L51" s="296"/>
      <c r="M51" s="296">
        <v>0</v>
      </c>
      <c r="N51" s="122">
        <v>0</v>
      </c>
    </row>
    <row r="52" spans="1:14" outlineLevel="1" x14ac:dyDescent="0.25">
      <c r="A52" s="751"/>
      <c r="B52" s="752"/>
      <c r="C52" s="752"/>
      <c r="D52" s="68" t="s">
        <v>32</v>
      </c>
      <c r="E52" s="72">
        <f t="shared" si="3"/>
        <v>0</v>
      </c>
      <c r="F52" s="648">
        <v>0</v>
      </c>
      <c r="G52" s="649">
        <v>0</v>
      </c>
      <c r="H52" s="649">
        <v>0</v>
      </c>
      <c r="I52" s="649"/>
      <c r="J52" s="649"/>
      <c r="K52" s="649"/>
      <c r="L52" s="296"/>
      <c r="M52" s="296">
        <v>0</v>
      </c>
      <c r="N52" s="122">
        <v>0</v>
      </c>
    </row>
    <row r="53" spans="1:14" outlineLevel="1" x14ac:dyDescent="0.25">
      <c r="A53" s="751"/>
      <c r="B53" s="752"/>
      <c r="C53" s="752"/>
      <c r="D53" s="68" t="s">
        <v>33</v>
      </c>
      <c r="E53" s="72">
        <f t="shared" si="3"/>
        <v>0</v>
      </c>
      <c r="F53" s="648">
        <v>0</v>
      </c>
      <c r="G53" s="649">
        <v>0</v>
      </c>
      <c r="H53" s="649">
        <v>0</v>
      </c>
      <c r="I53" s="649"/>
      <c r="J53" s="649"/>
      <c r="K53" s="649"/>
      <c r="L53" s="296"/>
      <c r="M53" s="296">
        <v>0</v>
      </c>
      <c r="N53" s="122">
        <v>0</v>
      </c>
    </row>
    <row r="54" spans="1:14" ht="15.75" outlineLevel="1" thickBot="1" x14ac:dyDescent="0.3">
      <c r="A54" s="751"/>
      <c r="B54" s="752"/>
      <c r="C54" s="752"/>
      <c r="D54" s="69" t="s">
        <v>34</v>
      </c>
      <c r="E54" s="73">
        <f t="shared" si="3"/>
        <v>0</v>
      </c>
      <c r="F54" s="653">
        <v>0</v>
      </c>
      <c r="G54" s="650">
        <v>0</v>
      </c>
      <c r="H54" s="650">
        <v>0</v>
      </c>
      <c r="I54" s="650"/>
      <c r="J54" s="650"/>
      <c r="K54" s="650"/>
      <c r="L54" s="297"/>
      <c r="M54" s="297">
        <v>0</v>
      </c>
      <c r="N54" s="124">
        <v>0</v>
      </c>
    </row>
    <row r="55" spans="1:14" outlineLevel="1" x14ac:dyDescent="0.25">
      <c r="A55" s="751" t="s">
        <v>96</v>
      </c>
      <c r="B55" s="752"/>
      <c r="C55" s="752"/>
      <c r="D55" s="67" t="s">
        <v>25</v>
      </c>
      <c r="E55" s="72">
        <f t="shared" si="3"/>
        <v>0</v>
      </c>
      <c r="F55" s="651">
        <v>0</v>
      </c>
      <c r="G55" s="652">
        <v>0</v>
      </c>
      <c r="H55" s="652">
        <v>0</v>
      </c>
      <c r="I55" s="652"/>
      <c r="J55" s="652"/>
      <c r="K55" s="652"/>
      <c r="L55" s="295"/>
      <c r="M55" s="295">
        <v>0</v>
      </c>
      <c r="N55" s="120">
        <v>0</v>
      </c>
    </row>
    <row r="56" spans="1:14" outlineLevel="1" x14ac:dyDescent="0.25">
      <c r="A56" s="751"/>
      <c r="B56" s="752"/>
      <c r="C56" s="752"/>
      <c r="D56" s="68" t="s">
        <v>26</v>
      </c>
      <c r="E56" s="72">
        <f t="shared" si="3"/>
        <v>720</v>
      </c>
      <c r="F56" s="648">
        <v>120</v>
      </c>
      <c r="G56" s="648">
        <v>120</v>
      </c>
      <c r="H56" s="648">
        <v>120</v>
      </c>
      <c r="I56" s="648">
        <v>120</v>
      </c>
      <c r="J56" s="648">
        <v>120</v>
      </c>
      <c r="K56" s="648">
        <v>120</v>
      </c>
      <c r="L56" s="296"/>
      <c r="M56" s="296">
        <v>0</v>
      </c>
      <c r="N56" s="122">
        <v>0</v>
      </c>
    </row>
    <row r="57" spans="1:14" outlineLevel="1" x14ac:dyDescent="0.25">
      <c r="A57" s="751"/>
      <c r="B57" s="752"/>
      <c r="C57" s="752"/>
      <c r="D57" s="68" t="s">
        <v>27</v>
      </c>
      <c r="E57" s="72">
        <f t="shared" si="3"/>
        <v>720</v>
      </c>
      <c r="F57" s="648">
        <v>120</v>
      </c>
      <c r="G57" s="648">
        <v>120</v>
      </c>
      <c r="H57" s="648">
        <v>120</v>
      </c>
      <c r="I57" s="648">
        <v>120</v>
      </c>
      <c r="J57" s="648">
        <v>120</v>
      </c>
      <c r="K57" s="648">
        <v>120</v>
      </c>
      <c r="L57" s="296"/>
      <c r="M57" s="296">
        <v>0</v>
      </c>
      <c r="N57" s="122">
        <v>0</v>
      </c>
    </row>
    <row r="58" spans="1:14" outlineLevel="1" x14ac:dyDescent="0.25">
      <c r="A58" s="751"/>
      <c r="B58" s="752"/>
      <c r="C58" s="752"/>
      <c r="D58" s="68" t="s">
        <v>28</v>
      </c>
      <c r="E58" s="72">
        <f t="shared" si="3"/>
        <v>720</v>
      </c>
      <c r="F58" s="648">
        <v>120</v>
      </c>
      <c r="G58" s="648">
        <v>120</v>
      </c>
      <c r="H58" s="648">
        <v>120</v>
      </c>
      <c r="I58" s="648">
        <v>120</v>
      </c>
      <c r="J58" s="648">
        <v>120</v>
      </c>
      <c r="K58" s="648">
        <v>120</v>
      </c>
      <c r="L58" s="296"/>
      <c r="M58" s="296">
        <v>0</v>
      </c>
      <c r="N58" s="122">
        <v>0</v>
      </c>
    </row>
    <row r="59" spans="1:14" outlineLevel="1" x14ac:dyDescent="0.25">
      <c r="A59" s="751"/>
      <c r="B59" s="752"/>
      <c r="C59" s="752"/>
      <c r="D59" s="68" t="s">
        <v>29</v>
      </c>
      <c r="E59" s="72">
        <f t="shared" si="3"/>
        <v>720</v>
      </c>
      <c r="F59" s="648">
        <v>120</v>
      </c>
      <c r="G59" s="648">
        <v>120</v>
      </c>
      <c r="H59" s="648">
        <v>120</v>
      </c>
      <c r="I59" s="648">
        <v>120</v>
      </c>
      <c r="J59" s="648">
        <v>120</v>
      </c>
      <c r="K59" s="648">
        <v>120</v>
      </c>
      <c r="L59" s="296"/>
      <c r="M59" s="296">
        <v>0</v>
      </c>
      <c r="N59" s="122">
        <v>0</v>
      </c>
    </row>
    <row r="60" spans="1:14" outlineLevel="1" x14ac:dyDescent="0.25">
      <c r="A60" s="751"/>
      <c r="B60" s="752"/>
      <c r="C60" s="752"/>
      <c r="D60" s="68" t="s">
        <v>30</v>
      </c>
      <c r="E60" s="72">
        <f t="shared" si="3"/>
        <v>720</v>
      </c>
      <c r="F60" s="648">
        <v>120</v>
      </c>
      <c r="G60" s="648">
        <v>120</v>
      </c>
      <c r="H60" s="648">
        <v>120</v>
      </c>
      <c r="I60" s="648">
        <v>120</v>
      </c>
      <c r="J60" s="648">
        <v>120</v>
      </c>
      <c r="K60" s="648">
        <v>120</v>
      </c>
      <c r="L60" s="296"/>
      <c r="M60" s="296">
        <v>0</v>
      </c>
      <c r="N60" s="122">
        <v>0</v>
      </c>
    </row>
    <row r="61" spans="1:14" outlineLevel="1" x14ac:dyDescent="0.25">
      <c r="A61" s="751"/>
      <c r="B61" s="752"/>
      <c r="C61" s="752"/>
      <c r="D61" s="68" t="s">
        <v>31</v>
      </c>
      <c r="E61" s="72">
        <f t="shared" si="3"/>
        <v>720</v>
      </c>
      <c r="F61" s="648">
        <v>120</v>
      </c>
      <c r="G61" s="648">
        <v>120</v>
      </c>
      <c r="H61" s="648">
        <v>120</v>
      </c>
      <c r="I61" s="648">
        <v>120</v>
      </c>
      <c r="J61" s="648">
        <v>120</v>
      </c>
      <c r="K61" s="648">
        <v>120</v>
      </c>
      <c r="L61" s="296"/>
      <c r="M61" s="296">
        <v>0</v>
      </c>
      <c r="N61" s="122">
        <v>0</v>
      </c>
    </row>
    <row r="62" spans="1:14" outlineLevel="1" x14ac:dyDescent="0.25">
      <c r="A62" s="751"/>
      <c r="B62" s="752"/>
      <c r="C62" s="752"/>
      <c r="D62" s="68" t="s">
        <v>32</v>
      </c>
      <c r="E62" s="72">
        <f t="shared" si="3"/>
        <v>0</v>
      </c>
      <c r="F62" s="648">
        <v>0</v>
      </c>
      <c r="G62" s="649">
        <v>0</v>
      </c>
      <c r="H62" s="649">
        <v>0</v>
      </c>
      <c r="I62" s="649"/>
      <c r="J62" s="649"/>
      <c r="K62" s="649"/>
      <c r="L62" s="296"/>
      <c r="M62" s="296">
        <v>0</v>
      </c>
      <c r="N62" s="122">
        <v>0</v>
      </c>
    </row>
    <row r="63" spans="1:14" outlineLevel="1" x14ac:dyDescent="0.25">
      <c r="A63" s="751"/>
      <c r="B63" s="752"/>
      <c r="C63" s="752"/>
      <c r="D63" s="68" t="s">
        <v>33</v>
      </c>
      <c r="E63" s="72">
        <f t="shared" si="3"/>
        <v>0</v>
      </c>
      <c r="F63" s="648">
        <v>0</v>
      </c>
      <c r="G63" s="649">
        <v>0</v>
      </c>
      <c r="H63" s="649">
        <v>0</v>
      </c>
      <c r="I63" s="649"/>
      <c r="J63" s="649"/>
      <c r="K63" s="649"/>
      <c r="L63" s="296"/>
      <c r="M63" s="296">
        <v>0</v>
      </c>
      <c r="N63" s="122">
        <v>0</v>
      </c>
    </row>
    <row r="64" spans="1:14" ht="15.75" outlineLevel="1" thickBot="1" x14ac:dyDescent="0.3">
      <c r="A64" s="751"/>
      <c r="B64" s="752"/>
      <c r="C64" s="752"/>
      <c r="D64" s="69" t="s">
        <v>34</v>
      </c>
      <c r="E64" s="73">
        <f t="shared" si="3"/>
        <v>0</v>
      </c>
      <c r="F64" s="653">
        <v>0</v>
      </c>
      <c r="G64" s="650">
        <v>0</v>
      </c>
      <c r="H64" s="650">
        <v>0</v>
      </c>
      <c r="I64" s="650"/>
      <c r="J64" s="650"/>
      <c r="K64" s="650"/>
      <c r="L64" s="297"/>
      <c r="M64" s="297">
        <v>0</v>
      </c>
      <c r="N64" s="124">
        <v>0</v>
      </c>
    </row>
    <row r="65" spans="1:14" outlineLevel="1" x14ac:dyDescent="0.25">
      <c r="A65" s="751" t="s">
        <v>97</v>
      </c>
      <c r="B65" s="752"/>
      <c r="C65" s="752"/>
      <c r="D65" s="67" t="s">
        <v>25</v>
      </c>
      <c r="E65" s="72">
        <f t="shared" si="3"/>
        <v>0</v>
      </c>
      <c r="F65" s="651">
        <v>0</v>
      </c>
      <c r="G65" s="652">
        <v>0</v>
      </c>
      <c r="H65" s="652">
        <v>0</v>
      </c>
      <c r="I65" s="652"/>
      <c r="J65" s="652"/>
      <c r="K65" s="652"/>
      <c r="L65" s="295"/>
      <c r="M65" s="295">
        <v>0</v>
      </c>
      <c r="N65" s="120">
        <v>0</v>
      </c>
    </row>
    <row r="66" spans="1:14" outlineLevel="1" x14ac:dyDescent="0.25">
      <c r="A66" s="751"/>
      <c r="B66" s="752"/>
      <c r="C66" s="752"/>
      <c r="D66" s="68" t="s">
        <v>26</v>
      </c>
      <c r="E66" s="72">
        <f t="shared" si="3"/>
        <v>8000</v>
      </c>
      <c r="F66" s="648">
        <v>1000</v>
      </c>
      <c r="G66" s="648">
        <v>1000</v>
      </c>
      <c r="H66" s="648">
        <v>1000</v>
      </c>
      <c r="I66" s="648">
        <v>1000</v>
      </c>
      <c r="J66" s="648">
        <v>1000</v>
      </c>
      <c r="K66" s="648">
        <v>1000</v>
      </c>
      <c r="L66" s="121">
        <v>1000</v>
      </c>
      <c r="M66" s="121">
        <v>1000</v>
      </c>
      <c r="N66" s="122">
        <v>0</v>
      </c>
    </row>
    <row r="67" spans="1:14" outlineLevel="1" x14ac:dyDescent="0.25">
      <c r="A67" s="751"/>
      <c r="B67" s="752"/>
      <c r="C67" s="752"/>
      <c r="D67" s="68" t="s">
        <v>27</v>
      </c>
      <c r="E67" s="72">
        <f t="shared" si="3"/>
        <v>8000</v>
      </c>
      <c r="F67" s="648">
        <v>1000</v>
      </c>
      <c r="G67" s="648">
        <v>1000</v>
      </c>
      <c r="H67" s="648">
        <v>1000</v>
      </c>
      <c r="I67" s="648">
        <v>1000</v>
      </c>
      <c r="J67" s="648">
        <v>1000</v>
      </c>
      <c r="K67" s="648">
        <v>1000</v>
      </c>
      <c r="L67" s="121">
        <v>1000</v>
      </c>
      <c r="M67" s="121">
        <v>1000</v>
      </c>
      <c r="N67" s="122">
        <v>0</v>
      </c>
    </row>
    <row r="68" spans="1:14" outlineLevel="1" x14ac:dyDescent="0.25">
      <c r="A68" s="751"/>
      <c r="B68" s="752"/>
      <c r="C68" s="752"/>
      <c r="D68" s="68" t="s">
        <v>28</v>
      </c>
      <c r="E68" s="72">
        <f t="shared" si="3"/>
        <v>8000</v>
      </c>
      <c r="F68" s="648">
        <v>1000</v>
      </c>
      <c r="G68" s="648">
        <v>1000</v>
      </c>
      <c r="H68" s="648">
        <v>1000</v>
      </c>
      <c r="I68" s="648">
        <v>1000</v>
      </c>
      <c r="J68" s="648">
        <v>1000</v>
      </c>
      <c r="K68" s="648">
        <v>1000</v>
      </c>
      <c r="L68" s="121">
        <v>1000</v>
      </c>
      <c r="M68" s="121">
        <v>1000</v>
      </c>
      <c r="N68" s="122">
        <v>0</v>
      </c>
    </row>
    <row r="69" spans="1:14" outlineLevel="1" x14ac:dyDescent="0.25">
      <c r="A69" s="751"/>
      <c r="B69" s="752"/>
      <c r="C69" s="752"/>
      <c r="D69" s="68" t="s">
        <v>29</v>
      </c>
      <c r="E69" s="72">
        <f t="shared" si="3"/>
        <v>8000</v>
      </c>
      <c r="F69" s="648">
        <v>1000</v>
      </c>
      <c r="G69" s="648">
        <v>1000</v>
      </c>
      <c r="H69" s="648">
        <v>1000</v>
      </c>
      <c r="I69" s="648">
        <v>1000</v>
      </c>
      <c r="J69" s="648">
        <v>1000</v>
      </c>
      <c r="K69" s="648">
        <v>1000</v>
      </c>
      <c r="L69" s="121">
        <v>1000</v>
      </c>
      <c r="M69" s="121">
        <v>1000</v>
      </c>
      <c r="N69" s="122">
        <v>0</v>
      </c>
    </row>
    <row r="70" spans="1:14" outlineLevel="1" x14ac:dyDescent="0.25">
      <c r="A70" s="751"/>
      <c r="B70" s="752"/>
      <c r="C70" s="752"/>
      <c r="D70" s="68" t="s">
        <v>30</v>
      </c>
      <c r="E70" s="72">
        <f t="shared" si="3"/>
        <v>8000</v>
      </c>
      <c r="F70" s="648">
        <v>1000</v>
      </c>
      <c r="G70" s="648">
        <v>1000</v>
      </c>
      <c r="H70" s="648">
        <v>1000</v>
      </c>
      <c r="I70" s="648">
        <v>1000</v>
      </c>
      <c r="J70" s="648">
        <v>1000</v>
      </c>
      <c r="K70" s="648">
        <v>1000</v>
      </c>
      <c r="L70" s="121">
        <v>1000</v>
      </c>
      <c r="M70" s="121">
        <v>1000</v>
      </c>
      <c r="N70" s="122">
        <v>0</v>
      </c>
    </row>
    <row r="71" spans="1:14" outlineLevel="1" x14ac:dyDescent="0.25">
      <c r="A71" s="751"/>
      <c r="B71" s="752"/>
      <c r="C71" s="752"/>
      <c r="D71" s="68" t="s">
        <v>31</v>
      </c>
      <c r="E71" s="72">
        <f t="shared" si="3"/>
        <v>8000</v>
      </c>
      <c r="F71" s="648">
        <v>1000</v>
      </c>
      <c r="G71" s="648">
        <v>1000</v>
      </c>
      <c r="H71" s="648">
        <v>1000</v>
      </c>
      <c r="I71" s="648">
        <v>1000</v>
      </c>
      <c r="J71" s="648">
        <v>1000</v>
      </c>
      <c r="K71" s="648">
        <v>1000</v>
      </c>
      <c r="L71" s="121">
        <v>1000</v>
      </c>
      <c r="M71" s="121">
        <v>1000</v>
      </c>
      <c r="N71" s="122">
        <v>0</v>
      </c>
    </row>
    <row r="72" spans="1:14" outlineLevel="1" x14ac:dyDescent="0.25">
      <c r="A72" s="751"/>
      <c r="B72" s="752"/>
      <c r="C72" s="752"/>
      <c r="D72" s="68" t="s">
        <v>32</v>
      </c>
      <c r="E72" s="72">
        <f t="shared" si="3"/>
        <v>0</v>
      </c>
      <c r="F72" s="648">
        <v>0</v>
      </c>
      <c r="G72" s="649">
        <v>0</v>
      </c>
      <c r="H72" s="649">
        <v>0</v>
      </c>
      <c r="I72" s="649"/>
      <c r="J72" s="649"/>
      <c r="K72" s="649"/>
      <c r="L72" s="296"/>
      <c r="M72" s="296">
        <v>0</v>
      </c>
      <c r="N72" s="122">
        <v>0</v>
      </c>
    </row>
    <row r="73" spans="1:14" outlineLevel="1" x14ac:dyDescent="0.25">
      <c r="A73" s="751"/>
      <c r="B73" s="752"/>
      <c r="C73" s="752"/>
      <c r="D73" s="68" t="s">
        <v>33</v>
      </c>
      <c r="E73" s="72">
        <f t="shared" si="3"/>
        <v>0</v>
      </c>
      <c r="F73" s="121">
        <v>0</v>
      </c>
      <c r="G73" s="296">
        <v>0</v>
      </c>
      <c r="H73" s="296">
        <v>0</v>
      </c>
      <c r="I73" s="296"/>
      <c r="J73" s="296"/>
      <c r="K73" s="296"/>
      <c r="L73" s="296"/>
      <c r="M73" s="296">
        <v>0</v>
      </c>
      <c r="N73" s="122">
        <v>0</v>
      </c>
    </row>
    <row r="74" spans="1:14" ht="15.75" outlineLevel="1" thickBot="1" x14ac:dyDescent="0.3">
      <c r="A74" s="751"/>
      <c r="B74" s="752"/>
      <c r="C74" s="752"/>
      <c r="D74" s="69" t="s">
        <v>34</v>
      </c>
      <c r="E74" s="73">
        <f t="shared" si="3"/>
        <v>0</v>
      </c>
      <c r="F74" s="123">
        <v>0</v>
      </c>
      <c r="G74" s="297">
        <v>0</v>
      </c>
      <c r="H74" s="297">
        <v>0</v>
      </c>
      <c r="I74" s="297"/>
      <c r="J74" s="297"/>
      <c r="K74" s="297"/>
      <c r="L74" s="297"/>
      <c r="M74" s="297">
        <v>0</v>
      </c>
      <c r="N74" s="124">
        <v>0</v>
      </c>
    </row>
    <row r="75" spans="1:14" outlineLevel="1" x14ac:dyDescent="0.25">
      <c r="A75" s="751" t="s">
        <v>92</v>
      </c>
      <c r="B75" s="752" t="s">
        <v>78</v>
      </c>
      <c r="C75" s="752">
        <v>637001</v>
      </c>
      <c r="D75" s="67" t="s">
        <v>25</v>
      </c>
      <c r="E75" s="72">
        <f t="shared" si="3"/>
        <v>0</v>
      </c>
      <c r="F75" s="119">
        <v>0</v>
      </c>
      <c r="G75" s="295">
        <v>0</v>
      </c>
      <c r="H75" s="295">
        <v>0</v>
      </c>
      <c r="I75" s="295"/>
      <c r="J75" s="295"/>
      <c r="K75" s="295"/>
      <c r="L75" s="295"/>
      <c r="M75" s="295">
        <v>0</v>
      </c>
      <c r="N75" s="120">
        <v>0</v>
      </c>
    </row>
    <row r="76" spans="1:14" outlineLevel="1" x14ac:dyDescent="0.25">
      <c r="A76" s="751"/>
      <c r="B76" s="752"/>
      <c r="C76" s="752"/>
      <c r="D76" s="68" t="s">
        <v>26</v>
      </c>
      <c r="E76" s="72">
        <f t="shared" si="3"/>
        <v>0</v>
      </c>
      <c r="F76" s="121">
        <v>0</v>
      </c>
      <c r="G76" s="296">
        <v>0</v>
      </c>
      <c r="H76" s="296">
        <v>0</v>
      </c>
      <c r="I76" s="296"/>
      <c r="J76" s="296"/>
      <c r="K76" s="296"/>
      <c r="L76" s="296"/>
      <c r="M76" s="296">
        <v>0</v>
      </c>
      <c r="N76" s="122">
        <v>0</v>
      </c>
    </row>
    <row r="77" spans="1:14" outlineLevel="1" x14ac:dyDescent="0.25">
      <c r="A77" s="751"/>
      <c r="B77" s="752"/>
      <c r="C77" s="752"/>
      <c r="D77" s="68" t="s">
        <v>27</v>
      </c>
      <c r="E77" s="72">
        <f t="shared" si="3"/>
        <v>0</v>
      </c>
      <c r="F77" s="121">
        <v>0</v>
      </c>
      <c r="G77" s="296">
        <v>0</v>
      </c>
      <c r="H77" s="296">
        <v>0</v>
      </c>
      <c r="I77" s="296"/>
      <c r="J77" s="296"/>
      <c r="K77" s="296"/>
      <c r="L77" s="296"/>
      <c r="M77" s="296">
        <v>0</v>
      </c>
      <c r="N77" s="122">
        <v>0</v>
      </c>
    </row>
    <row r="78" spans="1:14" outlineLevel="1" x14ac:dyDescent="0.25">
      <c r="A78" s="751"/>
      <c r="B78" s="752"/>
      <c r="C78" s="752"/>
      <c r="D78" s="68" t="s">
        <v>28</v>
      </c>
      <c r="E78" s="72">
        <f t="shared" si="3"/>
        <v>0</v>
      </c>
      <c r="F78" s="121">
        <v>0</v>
      </c>
      <c r="G78" s="296">
        <v>0</v>
      </c>
      <c r="H78" s="296">
        <v>0</v>
      </c>
      <c r="I78" s="296"/>
      <c r="J78" s="296"/>
      <c r="K78" s="296"/>
      <c r="L78" s="296"/>
      <c r="M78" s="296">
        <v>0</v>
      </c>
      <c r="N78" s="122">
        <v>0</v>
      </c>
    </row>
    <row r="79" spans="1:14" outlineLevel="1" x14ac:dyDescent="0.25">
      <c r="A79" s="751"/>
      <c r="B79" s="752"/>
      <c r="C79" s="752"/>
      <c r="D79" s="68" t="s">
        <v>29</v>
      </c>
      <c r="E79" s="72">
        <f t="shared" si="3"/>
        <v>0</v>
      </c>
      <c r="F79" s="121">
        <v>0</v>
      </c>
      <c r="G79" s="296">
        <v>0</v>
      </c>
      <c r="H79" s="296">
        <v>0</v>
      </c>
      <c r="I79" s="296"/>
      <c r="J79" s="296"/>
      <c r="K79" s="296"/>
      <c r="L79" s="296"/>
      <c r="M79" s="296">
        <v>0</v>
      </c>
      <c r="N79" s="122">
        <v>0</v>
      </c>
    </row>
    <row r="80" spans="1:14" outlineLevel="1" x14ac:dyDescent="0.25">
      <c r="A80" s="751"/>
      <c r="B80" s="752"/>
      <c r="C80" s="752"/>
      <c r="D80" s="68" t="s">
        <v>30</v>
      </c>
      <c r="E80" s="72">
        <f t="shared" si="3"/>
        <v>0</v>
      </c>
      <c r="F80" s="121">
        <v>0</v>
      </c>
      <c r="G80" s="296">
        <v>0</v>
      </c>
      <c r="H80" s="296">
        <v>0</v>
      </c>
      <c r="I80" s="296"/>
      <c r="J80" s="296"/>
      <c r="K80" s="296"/>
      <c r="L80" s="296"/>
      <c r="M80" s="296">
        <v>0</v>
      </c>
      <c r="N80" s="122">
        <v>0</v>
      </c>
    </row>
    <row r="81" spans="1:14" outlineLevel="1" x14ac:dyDescent="0.25">
      <c r="A81" s="751"/>
      <c r="B81" s="752"/>
      <c r="C81" s="752"/>
      <c r="D81" s="68" t="s">
        <v>31</v>
      </c>
      <c r="E81" s="72">
        <f t="shared" si="3"/>
        <v>0</v>
      </c>
      <c r="F81" s="121">
        <v>0</v>
      </c>
      <c r="G81" s="296">
        <v>0</v>
      </c>
      <c r="H81" s="296">
        <v>0</v>
      </c>
      <c r="I81" s="296"/>
      <c r="J81" s="296"/>
      <c r="K81" s="296"/>
      <c r="L81" s="296"/>
      <c r="M81" s="296">
        <v>0</v>
      </c>
      <c r="N81" s="122">
        <v>0</v>
      </c>
    </row>
    <row r="82" spans="1:14" outlineLevel="1" x14ac:dyDescent="0.25">
      <c r="A82" s="751"/>
      <c r="B82" s="752"/>
      <c r="C82" s="752"/>
      <c r="D82" s="68" t="s">
        <v>32</v>
      </c>
      <c r="E82" s="72">
        <f t="shared" si="3"/>
        <v>0</v>
      </c>
      <c r="F82" s="121">
        <v>0</v>
      </c>
      <c r="G82" s="296">
        <v>0</v>
      </c>
      <c r="H82" s="296">
        <v>0</v>
      </c>
      <c r="I82" s="296"/>
      <c r="J82" s="296"/>
      <c r="K82" s="296"/>
      <c r="L82" s="296"/>
      <c r="M82" s="296">
        <v>0</v>
      </c>
      <c r="N82" s="122">
        <v>0</v>
      </c>
    </row>
    <row r="83" spans="1:14" outlineLevel="1" x14ac:dyDescent="0.25">
      <c r="A83" s="751"/>
      <c r="B83" s="752"/>
      <c r="C83" s="752"/>
      <c r="D83" s="68" t="s">
        <v>33</v>
      </c>
      <c r="E83" s="72">
        <f t="shared" si="3"/>
        <v>0</v>
      </c>
      <c r="F83" s="121">
        <v>0</v>
      </c>
      <c r="G83" s="296">
        <v>0</v>
      </c>
      <c r="H83" s="296">
        <v>0</v>
      </c>
      <c r="I83" s="296"/>
      <c r="J83" s="296"/>
      <c r="K83" s="296"/>
      <c r="L83" s="296"/>
      <c r="M83" s="296">
        <v>0</v>
      </c>
      <c r="N83" s="122">
        <v>0</v>
      </c>
    </row>
    <row r="84" spans="1:14" ht="15.75" outlineLevel="1" thickBot="1" x14ac:dyDescent="0.3">
      <c r="A84" s="751"/>
      <c r="B84" s="752"/>
      <c r="C84" s="752"/>
      <c r="D84" s="69" t="s">
        <v>34</v>
      </c>
      <c r="E84" s="73">
        <f t="shared" si="3"/>
        <v>0</v>
      </c>
      <c r="F84" s="123">
        <v>0</v>
      </c>
      <c r="G84" s="297">
        <v>0</v>
      </c>
      <c r="H84" s="297">
        <v>0</v>
      </c>
      <c r="I84" s="297"/>
      <c r="J84" s="297"/>
      <c r="K84" s="297"/>
      <c r="L84" s="297"/>
      <c r="M84" s="297">
        <v>0</v>
      </c>
      <c r="N84" s="124">
        <v>0</v>
      </c>
    </row>
  </sheetData>
  <mergeCells count="27">
    <mergeCell ref="A1:D1"/>
    <mergeCell ref="A65:A74"/>
    <mergeCell ref="B65:B74"/>
    <mergeCell ref="C65:C74"/>
    <mergeCell ref="A75:A84"/>
    <mergeCell ref="B75:B84"/>
    <mergeCell ref="C75:C84"/>
    <mergeCell ref="A45:A54"/>
    <mergeCell ref="B45:B54"/>
    <mergeCell ref="C45:C54"/>
    <mergeCell ref="A55:A64"/>
    <mergeCell ref="B55:B64"/>
    <mergeCell ref="C55:C64"/>
    <mergeCell ref="A35:A44"/>
    <mergeCell ref="B35:B44"/>
    <mergeCell ref="C35:C44"/>
    <mergeCell ref="A3:C3"/>
    <mergeCell ref="A24:A33"/>
    <mergeCell ref="B24:B33"/>
    <mergeCell ref="C24:C33"/>
    <mergeCell ref="A34:C34"/>
    <mergeCell ref="A4:A13"/>
    <mergeCell ref="B4:B13"/>
    <mergeCell ref="C4:C13"/>
    <mergeCell ref="A14:A23"/>
    <mergeCell ref="B14:B23"/>
    <mergeCell ref="C14:C23"/>
  </mergeCells>
  <pageMargins left="0.7" right="0.7" top="0.75" bottom="0.75" header="0.3" footer="0.3"/>
  <pageSetup paperSize="9" scale="39" orientation="portrait" r:id="rId1"/>
  <ignoredErrors>
    <ignoredError sqref="E34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CC"/>
  </sheetPr>
  <dimension ref="A1:AI50"/>
  <sheetViews>
    <sheetView view="pageBreakPreview" zoomScale="60" zoomScaleNormal="100" workbookViewId="0">
      <selection activeCell="B53" sqref="B53"/>
    </sheetView>
  </sheetViews>
  <sheetFormatPr defaultColWidth="8.7109375" defaultRowHeight="12" x14ac:dyDescent="0.2"/>
  <cols>
    <col min="1" max="1" width="58.85546875" style="138" customWidth="1"/>
    <col min="2" max="2" width="13" style="138" customWidth="1"/>
    <col min="3" max="3" width="3.28515625" style="138" customWidth="1"/>
    <col min="4" max="25" width="3.7109375" style="138" customWidth="1"/>
    <col min="26" max="31" width="8" style="138" customWidth="1"/>
    <col min="32" max="32" width="10" style="138" customWidth="1"/>
    <col min="33" max="33" width="10.7109375" style="139" customWidth="1"/>
    <col min="34" max="35" width="10.7109375" style="138" customWidth="1"/>
    <col min="36" max="16384" width="8.7109375" style="138"/>
  </cols>
  <sheetData>
    <row r="1" spans="1:35" ht="12.75" thickBot="1" x14ac:dyDescent="0.25"/>
    <row r="2" spans="1:35" ht="36.75" customHeight="1" x14ac:dyDescent="0.2">
      <c r="A2" s="284" t="s">
        <v>121</v>
      </c>
      <c r="B2" s="285" t="s">
        <v>1</v>
      </c>
      <c r="C2" s="275" t="s">
        <v>122</v>
      </c>
      <c r="D2" s="276" t="s">
        <v>123</v>
      </c>
      <c r="E2" s="276" t="s">
        <v>124</v>
      </c>
      <c r="F2" s="276" t="s">
        <v>125</v>
      </c>
      <c r="G2" s="276" t="s">
        <v>126</v>
      </c>
      <c r="H2" s="276" t="s">
        <v>127</v>
      </c>
      <c r="I2" s="276" t="s">
        <v>128</v>
      </c>
      <c r="J2" s="276" t="s">
        <v>129</v>
      </c>
      <c r="K2" s="276" t="s">
        <v>130</v>
      </c>
      <c r="L2" s="276" t="s">
        <v>131</v>
      </c>
      <c r="M2" s="276" t="s">
        <v>132</v>
      </c>
      <c r="N2" s="277" t="s">
        <v>133</v>
      </c>
      <c r="O2" s="276" t="s">
        <v>134</v>
      </c>
      <c r="P2" s="276" t="s">
        <v>135</v>
      </c>
      <c r="Q2" s="276" t="s">
        <v>136</v>
      </c>
      <c r="R2" s="276" t="s">
        <v>137</v>
      </c>
      <c r="S2" s="276" t="s">
        <v>138</v>
      </c>
      <c r="T2" s="276" t="s">
        <v>139</v>
      </c>
      <c r="U2" s="276" t="s">
        <v>140</v>
      </c>
      <c r="V2" s="276" t="s">
        <v>141</v>
      </c>
      <c r="W2" s="276" t="s">
        <v>142</v>
      </c>
      <c r="X2" s="276" t="s">
        <v>143</v>
      </c>
      <c r="Y2" s="277" t="s">
        <v>144</v>
      </c>
      <c r="Z2" s="261" t="s">
        <v>145</v>
      </c>
      <c r="AA2" s="262" t="s">
        <v>146</v>
      </c>
      <c r="AB2" s="262" t="s">
        <v>147</v>
      </c>
      <c r="AC2" s="262" t="s">
        <v>148</v>
      </c>
      <c r="AD2" s="262" t="s">
        <v>149</v>
      </c>
      <c r="AE2" s="262" t="s">
        <v>150</v>
      </c>
      <c r="AF2" s="261" t="s">
        <v>151</v>
      </c>
      <c r="AG2" s="254" t="s">
        <v>152</v>
      </c>
      <c r="AH2" s="140"/>
      <c r="AI2" s="140"/>
    </row>
    <row r="3" spans="1:35" ht="14.25" customHeight="1" x14ac:dyDescent="0.2">
      <c r="A3" s="141"/>
      <c r="B3" s="142"/>
      <c r="C3" s="278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80"/>
      <c r="Z3" s="263"/>
      <c r="AA3" s="264"/>
      <c r="AB3" s="264"/>
      <c r="AC3" s="264"/>
      <c r="AD3" s="264"/>
      <c r="AE3" s="264"/>
      <c r="AF3" s="263"/>
      <c r="AG3" s="272"/>
      <c r="AH3" s="145"/>
      <c r="AI3" s="145"/>
    </row>
    <row r="4" spans="1:35" x14ac:dyDescent="0.2">
      <c r="A4" s="287" t="s">
        <v>172</v>
      </c>
      <c r="B4" s="146"/>
      <c r="C4" s="318" t="s">
        <v>277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1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1"/>
      <c r="Z4" s="265"/>
      <c r="AA4" s="266"/>
      <c r="AB4" s="266"/>
      <c r="AC4" s="266"/>
      <c r="AD4" s="266"/>
      <c r="AE4" s="266"/>
      <c r="AF4" s="578"/>
      <c r="AG4" s="579"/>
      <c r="AH4" s="147"/>
    </row>
    <row r="5" spans="1:35" ht="12.75" x14ac:dyDescent="0.2">
      <c r="A5" s="288" t="s">
        <v>331</v>
      </c>
      <c r="B5" s="146"/>
      <c r="C5" s="269">
        <v>1</v>
      </c>
      <c r="D5" s="270">
        <v>1</v>
      </c>
      <c r="E5" s="270">
        <v>1</v>
      </c>
      <c r="F5" s="270">
        <v>1</v>
      </c>
      <c r="G5" s="270" t="s">
        <v>165</v>
      </c>
      <c r="H5" s="270"/>
      <c r="I5" s="270"/>
      <c r="J5" s="270"/>
      <c r="K5" s="270"/>
      <c r="L5" s="270"/>
      <c r="M5" s="270"/>
      <c r="N5" s="271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582">
        <f>COUNTA(C5:Y5)*21</f>
        <v>105</v>
      </c>
      <c r="AA5" s="583">
        <f>COUNTA(C5:Y5)*21</f>
        <v>105</v>
      </c>
      <c r="AB5" s="282"/>
      <c r="AC5" s="282">
        <v>3</v>
      </c>
      <c r="AD5" s="282"/>
      <c r="AE5" s="518">
        <v>825</v>
      </c>
      <c r="AF5" s="580">
        <f>Z5*AB5*AD5</f>
        <v>0</v>
      </c>
      <c r="AG5" s="581">
        <f t="shared" ref="AG5:AG46" si="0">AA5*AC5*AE5</f>
        <v>259875</v>
      </c>
      <c r="AH5" s="147"/>
    </row>
    <row r="6" spans="1:35" ht="12.75" x14ac:dyDescent="0.2">
      <c r="A6" s="288" t="s">
        <v>153</v>
      </c>
      <c r="B6" s="146"/>
      <c r="C6" s="269"/>
      <c r="D6" s="270"/>
      <c r="E6" s="270"/>
      <c r="F6" s="270"/>
      <c r="G6" s="270">
        <v>1</v>
      </c>
      <c r="H6" s="270">
        <v>1</v>
      </c>
      <c r="I6" s="270">
        <v>1</v>
      </c>
      <c r="J6" s="270">
        <v>1</v>
      </c>
      <c r="K6" s="270">
        <v>1</v>
      </c>
      <c r="L6" s="270">
        <v>1</v>
      </c>
      <c r="M6" s="270"/>
      <c r="N6" s="271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582">
        <f>COUNTA(C6:Y6)*21</f>
        <v>126</v>
      </c>
      <c r="AA6" s="583">
        <f t="shared" ref="AA6:AA46" si="1">COUNTA(C6:Y6)*21</f>
        <v>126</v>
      </c>
      <c r="AB6" s="282"/>
      <c r="AC6" s="282">
        <v>3</v>
      </c>
      <c r="AD6" s="282"/>
      <c r="AE6" s="518">
        <v>714</v>
      </c>
      <c r="AF6" s="580">
        <f t="shared" ref="AF6:AF46" si="2">Z6*AB6*AD6</f>
        <v>0</v>
      </c>
      <c r="AG6" s="581">
        <f t="shared" si="0"/>
        <v>269892</v>
      </c>
      <c r="AH6" s="147"/>
    </row>
    <row r="7" spans="1:35" ht="12.75" x14ac:dyDescent="0.2">
      <c r="A7" s="288" t="s">
        <v>154</v>
      </c>
      <c r="B7" s="146"/>
      <c r="C7" s="269"/>
      <c r="D7" s="270"/>
      <c r="E7" s="270"/>
      <c r="F7" s="270"/>
      <c r="G7" s="270"/>
      <c r="H7" s="270"/>
      <c r="I7" s="270"/>
      <c r="J7" s="270"/>
      <c r="K7" s="270">
        <v>1</v>
      </c>
      <c r="L7" s="270">
        <v>1</v>
      </c>
      <c r="M7" s="270">
        <v>1</v>
      </c>
      <c r="N7" s="271">
        <v>1</v>
      </c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582">
        <f>COUNTA(C7:Y7)*21</f>
        <v>84</v>
      </c>
      <c r="AA7" s="583">
        <f t="shared" si="1"/>
        <v>84</v>
      </c>
      <c r="AB7" s="282"/>
      <c r="AC7" s="282">
        <v>2</v>
      </c>
      <c r="AD7" s="282"/>
      <c r="AE7" s="518">
        <v>650</v>
      </c>
      <c r="AF7" s="580">
        <f t="shared" si="2"/>
        <v>0</v>
      </c>
      <c r="AG7" s="581">
        <f t="shared" si="0"/>
        <v>109200</v>
      </c>
      <c r="AH7" s="147"/>
    </row>
    <row r="8" spans="1:35" ht="13.35" customHeight="1" x14ac:dyDescent="0.2">
      <c r="A8" s="288" t="s">
        <v>155</v>
      </c>
      <c r="B8" s="146"/>
      <c r="C8" s="269"/>
      <c r="D8" s="270"/>
      <c r="E8" s="270"/>
      <c r="F8" s="270"/>
      <c r="G8" s="270"/>
      <c r="H8" s="270"/>
      <c r="I8" s="270"/>
      <c r="J8" s="270"/>
      <c r="K8" s="270"/>
      <c r="L8" s="270"/>
      <c r="M8" s="270">
        <v>1</v>
      </c>
      <c r="N8" s="271">
        <v>1</v>
      </c>
      <c r="O8" s="270">
        <v>1</v>
      </c>
      <c r="P8" s="270">
        <v>1</v>
      </c>
      <c r="Q8" s="270">
        <v>1</v>
      </c>
      <c r="R8" s="270">
        <v>1</v>
      </c>
      <c r="S8" s="270">
        <v>1</v>
      </c>
      <c r="T8" s="270">
        <v>1</v>
      </c>
      <c r="U8" s="270">
        <v>1</v>
      </c>
      <c r="V8" s="270">
        <v>1</v>
      </c>
      <c r="W8" s="270">
        <v>1</v>
      </c>
      <c r="X8" s="270"/>
      <c r="Y8" s="270"/>
      <c r="Z8" s="582">
        <f>COUNTA(C8:Y8)*21</f>
        <v>231</v>
      </c>
      <c r="AA8" s="583">
        <f t="shared" si="1"/>
        <v>231</v>
      </c>
      <c r="AB8" s="282"/>
      <c r="AC8" s="282">
        <v>0.5</v>
      </c>
      <c r="AD8" s="282"/>
      <c r="AE8" s="518">
        <v>650</v>
      </c>
      <c r="AF8" s="580">
        <f t="shared" si="2"/>
        <v>0</v>
      </c>
      <c r="AG8" s="581">
        <f t="shared" si="0"/>
        <v>75075</v>
      </c>
      <c r="AH8" s="147"/>
    </row>
    <row r="9" spans="1:35" x14ac:dyDescent="0.2">
      <c r="A9" s="287" t="s">
        <v>166</v>
      </c>
      <c r="B9" s="146"/>
      <c r="C9" s="269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1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520"/>
      <c r="AA9" s="521"/>
      <c r="AB9" s="267"/>
      <c r="AC9" s="267"/>
      <c r="AD9" s="267"/>
      <c r="AE9" s="519"/>
      <c r="AF9" s="580"/>
      <c r="AG9" s="581"/>
      <c r="AH9" s="147"/>
    </row>
    <row r="10" spans="1:35" ht="12.75" x14ac:dyDescent="0.2">
      <c r="A10" s="288"/>
      <c r="B10" s="146"/>
      <c r="C10" s="269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1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582">
        <f>COUNTA(C10:Y10)*21</f>
        <v>0</v>
      </c>
      <c r="AA10" s="583">
        <f t="shared" si="1"/>
        <v>0</v>
      </c>
      <c r="AB10" s="282"/>
      <c r="AC10" s="282"/>
      <c r="AD10" s="282"/>
      <c r="AE10" s="518"/>
      <c r="AF10" s="580">
        <f t="shared" si="2"/>
        <v>0</v>
      </c>
      <c r="AG10" s="581">
        <f t="shared" si="0"/>
        <v>0</v>
      </c>
      <c r="AH10" s="147"/>
    </row>
    <row r="11" spans="1:35" ht="12.75" x14ac:dyDescent="0.2">
      <c r="A11" s="288"/>
      <c r="B11" s="146"/>
      <c r="C11" s="269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1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582">
        <f>COUNTA(C11:Y11)*21</f>
        <v>0</v>
      </c>
      <c r="AA11" s="583">
        <f t="shared" si="1"/>
        <v>0</v>
      </c>
      <c r="AB11" s="282"/>
      <c r="AC11" s="282"/>
      <c r="AD11" s="282"/>
      <c r="AE11" s="518"/>
      <c r="AF11" s="580">
        <f t="shared" si="2"/>
        <v>0</v>
      </c>
      <c r="AG11" s="581">
        <f t="shared" si="0"/>
        <v>0</v>
      </c>
      <c r="AH11" s="147"/>
    </row>
    <row r="12" spans="1:35" ht="12.75" x14ac:dyDescent="0.2">
      <c r="A12" s="288"/>
      <c r="B12" s="146"/>
      <c r="C12" s="269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1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582">
        <f>COUNTA(C12:Y12)*21</f>
        <v>0</v>
      </c>
      <c r="AA12" s="583">
        <f t="shared" si="1"/>
        <v>0</v>
      </c>
      <c r="AB12" s="282"/>
      <c r="AC12" s="282"/>
      <c r="AD12" s="282"/>
      <c r="AE12" s="518"/>
      <c r="AF12" s="580">
        <f t="shared" si="2"/>
        <v>0</v>
      </c>
      <c r="AG12" s="581">
        <f t="shared" si="0"/>
        <v>0</v>
      </c>
      <c r="AH12" s="147"/>
    </row>
    <row r="13" spans="1:35" ht="12.75" x14ac:dyDescent="0.2">
      <c r="A13" s="288"/>
      <c r="B13" s="146"/>
      <c r="C13" s="269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1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582">
        <f>COUNTA(C13:Y13)*21</f>
        <v>0</v>
      </c>
      <c r="AA13" s="583">
        <f t="shared" si="1"/>
        <v>0</v>
      </c>
      <c r="AB13" s="282"/>
      <c r="AC13" s="282"/>
      <c r="AD13" s="282"/>
      <c r="AE13" s="518"/>
      <c r="AF13" s="580">
        <f t="shared" si="2"/>
        <v>0</v>
      </c>
      <c r="AG13" s="581">
        <f t="shared" si="0"/>
        <v>0</v>
      </c>
      <c r="AH13" s="147"/>
    </row>
    <row r="14" spans="1:35" ht="12.75" x14ac:dyDescent="0.2">
      <c r="A14" s="288"/>
      <c r="B14" s="146"/>
      <c r="C14" s="269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1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582">
        <f>COUNTA(C14:Y14)*21</f>
        <v>0</v>
      </c>
      <c r="AA14" s="583">
        <f t="shared" si="1"/>
        <v>0</v>
      </c>
      <c r="AB14" s="282"/>
      <c r="AC14" s="282"/>
      <c r="AD14" s="282"/>
      <c r="AE14" s="518"/>
      <c r="AF14" s="580">
        <f t="shared" si="2"/>
        <v>0</v>
      </c>
      <c r="AG14" s="581">
        <f t="shared" si="0"/>
        <v>0</v>
      </c>
      <c r="AH14" s="147"/>
    </row>
    <row r="15" spans="1:35" x14ac:dyDescent="0.2">
      <c r="A15" s="287" t="s">
        <v>167</v>
      </c>
      <c r="B15" s="146"/>
      <c r="C15" s="269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1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520"/>
      <c r="AA15" s="521"/>
      <c r="AB15" s="267"/>
      <c r="AC15" s="267"/>
      <c r="AD15" s="267"/>
      <c r="AE15" s="519"/>
      <c r="AF15" s="580"/>
      <c r="AG15" s="581"/>
      <c r="AH15" s="147"/>
    </row>
    <row r="16" spans="1:35" ht="12.75" x14ac:dyDescent="0.2">
      <c r="A16" s="288"/>
      <c r="B16" s="146"/>
      <c r="C16" s="269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1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582">
        <f>COUNTA(C16:Y16)*21</f>
        <v>0</v>
      </c>
      <c r="AA16" s="583">
        <f t="shared" si="1"/>
        <v>0</v>
      </c>
      <c r="AB16" s="282"/>
      <c r="AC16" s="282"/>
      <c r="AD16" s="282"/>
      <c r="AE16" s="518"/>
      <c r="AF16" s="580">
        <f t="shared" si="2"/>
        <v>0</v>
      </c>
      <c r="AG16" s="581">
        <f t="shared" si="0"/>
        <v>0</v>
      </c>
      <c r="AH16" s="147"/>
    </row>
    <row r="17" spans="1:34" ht="12.75" x14ac:dyDescent="0.2">
      <c r="A17" s="288"/>
      <c r="B17" s="146"/>
      <c r="C17" s="269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1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582">
        <f>COUNTA(C17:Y17)*21</f>
        <v>0</v>
      </c>
      <c r="AA17" s="583">
        <f t="shared" si="1"/>
        <v>0</v>
      </c>
      <c r="AB17" s="282"/>
      <c r="AC17" s="282"/>
      <c r="AD17" s="282"/>
      <c r="AE17" s="518"/>
      <c r="AF17" s="580">
        <f t="shared" si="2"/>
        <v>0</v>
      </c>
      <c r="AG17" s="581">
        <f t="shared" si="0"/>
        <v>0</v>
      </c>
      <c r="AH17" s="147"/>
    </row>
    <row r="18" spans="1:34" ht="12.75" x14ac:dyDescent="0.2">
      <c r="A18" s="288"/>
      <c r="B18" s="146"/>
      <c r="C18" s="269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1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582">
        <f>COUNTA(C18:Y18)*21</f>
        <v>0</v>
      </c>
      <c r="AA18" s="583">
        <f t="shared" si="1"/>
        <v>0</v>
      </c>
      <c r="AB18" s="282"/>
      <c r="AC18" s="282"/>
      <c r="AD18" s="282"/>
      <c r="AE18" s="518"/>
      <c r="AF18" s="580">
        <f t="shared" si="2"/>
        <v>0</v>
      </c>
      <c r="AG18" s="581">
        <f t="shared" si="0"/>
        <v>0</v>
      </c>
      <c r="AH18" s="147"/>
    </row>
    <row r="19" spans="1:34" ht="12.75" x14ac:dyDescent="0.2">
      <c r="A19" s="286"/>
      <c r="B19" s="146"/>
      <c r="C19" s="269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1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582">
        <f>COUNTA(C19:Y19)*21</f>
        <v>0</v>
      </c>
      <c r="AA19" s="583">
        <f t="shared" si="1"/>
        <v>0</v>
      </c>
      <c r="AB19" s="282"/>
      <c r="AC19" s="282"/>
      <c r="AD19" s="282"/>
      <c r="AE19" s="518"/>
      <c r="AF19" s="580">
        <f t="shared" si="2"/>
        <v>0</v>
      </c>
      <c r="AG19" s="581">
        <f t="shared" si="0"/>
        <v>0</v>
      </c>
      <c r="AH19" s="147"/>
    </row>
    <row r="20" spans="1:34" ht="12.75" x14ac:dyDescent="0.2">
      <c r="A20" s="286"/>
      <c r="B20" s="146"/>
      <c r="C20" s="269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1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582">
        <f>COUNTA(C20:Y20)*21</f>
        <v>0</v>
      </c>
      <c r="AA20" s="583">
        <f t="shared" si="1"/>
        <v>0</v>
      </c>
      <c r="AB20" s="282"/>
      <c r="AC20" s="282"/>
      <c r="AD20" s="282"/>
      <c r="AE20" s="518"/>
      <c r="AF20" s="580">
        <f t="shared" si="2"/>
        <v>0</v>
      </c>
      <c r="AG20" s="581">
        <f t="shared" si="0"/>
        <v>0</v>
      </c>
      <c r="AH20" s="147"/>
    </row>
    <row r="21" spans="1:34" x14ac:dyDescent="0.2">
      <c r="A21" s="287" t="s">
        <v>168</v>
      </c>
      <c r="B21" s="146"/>
      <c r="C21" s="269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1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520"/>
      <c r="AA21" s="521"/>
      <c r="AB21" s="267"/>
      <c r="AC21" s="267"/>
      <c r="AD21" s="267"/>
      <c r="AE21" s="519"/>
      <c r="AF21" s="580"/>
      <c r="AG21" s="581"/>
      <c r="AH21" s="147"/>
    </row>
    <row r="22" spans="1:34" ht="12.75" x14ac:dyDescent="0.2">
      <c r="A22" s="288"/>
      <c r="B22" s="146"/>
      <c r="C22" s="269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1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582">
        <f>COUNTA(C22:Y22)*21</f>
        <v>0</v>
      </c>
      <c r="AA22" s="583">
        <f t="shared" si="1"/>
        <v>0</v>
      </c>
      <c r="AB22" s="282"/>
      <c r="AC22" s="282"/>
      <c r="AD22" s="282"/>
      <c r="AE22" s="518"/>
      <c r="AF22" s="580">
        <f t="shared" si="2"/>
        <v>0</v>
      </c>
      <c r="AG22" s="581">
        <f t="shared" si="0"/>
        <v>0</v>
      </c>
      <c r="AH22" s="147"/>
    </row>
    <row r="23" spans="1:34" ht="12.75" x14ac:dyDescent="0.2">
      <c r="A23" s="288"/>
      <c r="B23" s="146"/>
      <c r="C23" s="269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1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582">
        <f>COUNTA(C23:Y23)*21</f>
        <v>0</v>
      </c>
      <c r="AA23" s="583">
        <f t="shared" si="1"/>
        <v>0</v>
      </c>
      <c r="AB23" s="282"/>
      <c r="AC23" s="282"/>
      <c r="AD23" s="282"/>
      <c r="AE23" s="518"/>
      <c r="AF23" s="580">
        <f t="shared" si="2"/>
        <v>0</v>
      </c>
      <c r="AG23" s="581">
        <f t="shared" si="0"/>
        <v>0</v>
      </c>
      <c r="AH23" s="147"/>
    </row>
    <row r="24" spans="1:34" ht="12.75" x14ac:dyDescent="0.2">
      <c r="A24" s="288"/>
      <c r="B24" s="146"/>
      <c r="C24" s="269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1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582">
        <f>COUNTA(C24:Y24)*21</f>
        <v>0</v>
      </c>
      <c r="AA24" s="583">
        <f t="shared" si="1"/>
        <v>0</v>
      </c>
      <c r="AB24" s="282"/>
      <c r="AC24" s="282"/>
      <c r="AD24" s="282"/>
      <c r="AE24" s="518"/>
      <c r="AF24" s="580">
        <f t="shared" si="2"/>
        <v>0</v>
      </c>
      <c r="AG24" s="581">
        <f t="shared" si="0"/>
        <v>0</v>
      </c>
      <c r="AH24" s="147"/>
    </row>
    <row r="25" spans="1:34" ht="12.75" x14ac:dyDescent="0.2">
      <c r="A25" s="288"/>
      <c r="B25" s="146"/>
      <c r="C25" s="269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1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582">
        <f>COUNTA(C25:Y25)*21</f>
        <v>0</v>
      </c>
      <c r="AA25" s="583">
        <f t="shared" si="1"/>
        <v>0</v>
      </c>
      <c r="AB25" s="282"/>
      <c r="AC25" s="282"/>
      <c r="AD25" s="282"/>
      <c r="AE25" s="518"/>
      <c r="AF25" s="580">
        <f t="shared" si="2"/>
        <v>0</v>
      </c>
      <c r="AG25" s="581">
        <f t="shared" si="0"/>
        <v>0</v>
      </c>
      <c r="AH25" s="147"/>
    </row>
    <row r="26" spans="1:34" ht="12.75" x14ac:dyDescent="0.2">
      <c r="A26" s="288"/>
      <c r="B26" s="146"/>
      <c r="C26" s="269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1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582">
        <f>COUNTA(C26:Y26)*21</f>
        <v>0</v>
      </c>
      <c r="AA26" s="583">
        <f t="shared" si="1"/>
        <v>0</v>
      </c>
      <c r="AB26" s="282"/>
      <c r="AC26" s="282"/>
      <c r="AD26" s="282"/>
      <c r="AE26" s="518"/>
      <c r="AF26" s="580">
        <f t="shared" si="2"/>
        <v>0</v>
      </c>
      <c r="AG26" s="581">
        <f t="shared" si="0"/>
        <v>0</v>
      </c>
      <c r="AH26" s="147"/>
    </row>
    <row r="27" spans="1:34" x14ac:dyDescent="0.2">
      <c r="A27" s="287" t="s">
        <v>169</v>
      </c>
      <c r="B27" s="146"/>
      <c r="C27" s="269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1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520"/>
      <c r="AA27" s="521"/>
      <c r="AB27" s="267"/>
      <c r="AC27" s="267"/>
      <c r="AD27" s="267"/>
      <c r="AE27" s="519"/>
      <c r="AF27" s="580"/>
      <c r="AG27" s="581"/>
      <c r="AH27" s="147"/>
    </row>
    <row r="28" spans="1:34" ht="12.75" x14ac:dyDescent="0.2">
      <c r="A28" s="288"/>
      <c r="B28" s="146"/>
      <c r="C28" s="269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1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582">
        <f>COUNTA(C28:Y28)*21</f>
        <v>0</v>
      </c>
      <c r="AA28" s="583">
        <f t="shared" si="1"/>
        <v>0</v>
      </c>
      <c r="AB28" s="282"/>
      <c r="AC28" s="282"/>
      <c r="AD28" s="282"/>
      <c r="AE28" s="518"/>
      <c r="AF28" s="580">
        <f t="shared" si="2"/>
        <v>0</v>
      </c>
      <c r="AG28" s="581">
        <f t="shared" si="0"/>
        <v>0</v>
      </c>
      <c r="AH28" s="147"/>
    </row>
    <row r="29" spans="1:34" ht="12.75" x14ac:dyDescent="0.2">
      <c r="A29" s="288"/>
      <c r="B29" s="146"/>
      <c r="C29" s="269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1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582">
        <f>COUNTA(C29:Y29)*21</f>
        <v>0</v>
      </c>
      <c r="AA29" s="583">
        <f t="shared" si="1"/>
        <v>0</v>
      </c>
      <c r="AB29" s="282"/>
      <c r="AC29" s="282"/>
      <c r="AD29" s="282"/>
      <c r="AE29" s="518"/>
      <c r="AF29" s="580">
        <f t="shared" si="2"/>
        <v>0</v>
      </c>
      <c r="AG29" s="581">
        <f t="shared" si="0"/>
        <v>0</v>
      </c>
      <c r="AH29" s="147"/>
    </row>
    <row r="30" spans="1:34" ht="12.75" x14ac:dyDescent="0.2">
      <c r="A30" s="288"/>
      <c r="B30" s="146"/>
      <c r="C30" s="269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1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582">
        <f>COUNTA(C30:Y30)*21</f>
        <v>0</v>
      </c>
      <c r="AA30" s="583">
        <f t="shared" si="1"/>
        <v>0</v>
      </c>
      <c r="AB30" s="282"/>
      <c r="AC30" s="282"/>
      <c r="AD30" s="282"/>
      <c r="AE30" s="518"/>
      <c r="AF30" s="580">
        <f t="shared" si="2"/>
        <v>0</v>
      </c>
      <c r="AG30" s="581">
        <f t="shared" si="0"/>
        <v>0</v>
      </c>
      <c r="AH30" s="147"/>
    </row>
    <row r="31" spans="1:34" ht="12.75" x14ac:dyDescent="0.2">
      <c r="A31" s="288"/>
      <c r="B31" s="146"/>
      <c r="C31" s="269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1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582">
        <f>COUNTA(C31:Y31)*21</f>
        <v>0</v>
      </c>
      <c r="AA31" s="583">
        <f t="shared" si="1"/>
        <v>0</v>
      </c>
      <c r="AB31" s="282"/>
      <c r="AC31" s="282"/>
      <c r="AD31" s="282"/>
      <c r="AE31" s="518"/>
      <c r="AF31" s="580">
        <f t="shared" si="2"/>
        <v>0</v>
      </c>
      <c r="AG31" s="581">
        <f t="shared" si="0"/>
        <v>0</v>
      </c>
      <c r="AH31" s="147"/>
    </row>
    <row r="32" spans="1:34" ht="12.75" x14ac:dyDescent="0.2">
      <c r="A32" s="288"/>
      <c r="B32" s="146"/>
      <c r="C32" s="269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1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582">
        <f>COUNTA(C32:Y32)*21</f>
        <v>0</v>
      </c>
      <c r="AA32" s="583">
        <f t="shared" si="1"/>
        <v>0</v>
      </c>
      <c r="AB32" s="282"/>
      <c r="AC32" s="282"/>
      <c r="AD32" s="282"/>
      <c r="AE32" s="518"/>
      <c r="AF32" s="580">
        <f t="shared" si="2"/>
        <v>0</v>
      </c>
      <c r="AG32" s="581">
        <f t="shared" si="0"/>
        <v>0</v>
      </c>
      <c r="AH32" s="147"/>
    </row>
    <row r="33" spans="1:35" x14ac:dyDescent="0.2">
      <c r="A33" s="287" t="s">
        <v>170</v>
      </c>
      <c r="B33" s="146"/>
      <c r="C33" s="269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1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520"/>
      <c r="AA33" s="521"/>
      <c r="AB33" s="267"/>
      <c r="AC33" s="267"/>
      <c r="AD33" s="267"/>
      <c r="AE33" s="519"/>
      <c r="AF33" s="580"/>
      <c r="AG33" s="581"/>
      <c r="AH33" s="147"/>
    </row>
    <row r="34" spans="1:35" ht="12.75" x14ac:dyDescent="0.2">
      <c r="A34" s="288"/>
      <c r="B34" s="146"/>
      <c r="C34" s="269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1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582">
        <f>COUNTA(C34:Y34)*21</f>
        <v>0</v>
      </c>
      <c r="AA34" s="583">
        <f t="shared" si="1"/>
        <v>0</v>
      </c>
      <c r="AB34" s="282"/>
      <c r="AC34" s="282"/>
      <c r="AD34" s="282"/>
      <c r="AE34" s="518"/>
      <c r="AF34" s="580">
        <f t="shared" si="2"/>
        <v>0</v>
      </c>
      <c r="AG34" s="581">
        <f t="shared" si="0"/>
        <v>0</v>
      </c>
      <c r="AH34" s="147"/>
    </row>
    <row r="35" spans="1:35" ht="12.75" x14ac:dyDescent="0.2">
      <c r="A35" s="288"/>
      <c r="B35" s="146"/>
      <c r="C35" s="269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1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582">
        <f>COUNTA(C35:Y35)*21</f>
        <v>0</v>
      </c>
      <c r="AA35" s="583">
        <f t="shared" si="1"/>
        <v>0</v>
      </c>
      <c r="AB35" s="282"/>
      <c r="AC35" s="282"/>
      <c r="AD35" s="282"/>
      <c r="AE35" s="518"/>
      <c r="AF35" s="580">
        <f t="shared" si="2"/>
        <v>0</v>
      </c>
      <c r="AG35" s="581">
        <f t="shared" si="0"/>
        <v>0</v>
      </c>
      <c r="AH35" s="147"/>
    </row>
    <row r="36" spans="1:35" ht="12.75" x14ac:dyDescent="0.2">
      <c r="A36" s="288"/>
      <c r="B36" s="146"/>
      <c r="C36" s="269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1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582">
        <f>COUNTA(C36:Y36)*21</f>
        <v>0</v>
      </c>
      <c r="AA36" s="583">
        <f t="shared" si="1"/>
        <v>0</v>
      </c>
      <c r="AB36" s="282"/>
      <c r="AC36" s="282"/>
      <c r="AD36" s="282"/>
      <c r="AE36" s="518"/>
      <c r="AF36" s="580">
        <f t="shared" si="2"/>
        <v>0</v>
      </c>
      <c r="AG36" s="581">
        <f t="shared" si="0"/>
        <v>0</v>
      </c>
      <c r="AH36" s="147"/>
    </row>
    <row r="37" spans="1:35" ht="12.75" x14ac:dyDescent="0.2">
      <c r="A37" s="288"/>
      <c r="B37" s="146"/>
      <c r="C37" s="269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1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582">
        <f>COUNTA(C37:Y37)*21</f>
        <v>0</v>
      </c>
      <c r="AA37" s="583">
        <f t="shared" si="1"/>
        <v>0</v>
      </c>
      <c r="AB37" s="282"/>
      <c r="AC37" s="282"/>
      <c r="AD37" s="282"/>
      <c r="AE37" s="518"/>
      <c r="AF37" s="580">
        <f t="shared" si="2"/>
        <v>0</v>
      </c>
      <c r="AG37" s="581">
        <f t="shared" si="0"/>
        <v>0</v>
      </c>
      <c r="AH37" s="147"/>
    </row>
    <row r="38" spans="1:35" ht="12.75" x14ac:dyDescent="0.2">
      <c r="A38" s="288"/>
      <c r="B38" s="146"/>
      <c r="C38" s="269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1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582">
        <f>COUNTA(C38:Y38)*21</f>
        <v>0</v>
      </c>
      <c r="AA38" s="583">
        <f t="shared" si="1"/>
        <v>0</v>
      </c>
      <c r="AB38" s="282"/>
      <c r="AC38" s="282"/>
      <c r="AD38" s="282"/>
      <c r="AE38" s="518"/>
      <c r="AF38" s="580">
        <f t="shared" si="2"/>
        <v>0</v>
      </c>
      <c r="AG38" s="581">
        <f t="shared" si="0"/>
        <v>0</v>
      </c>
      <c r="AH38" s="147"/>
    </row>
    <row r="39" spans="1:35" x14ac:dyDescent="0.2">
      <c r="A39" s="287" t="s">
        <v>171</v>
      </c>
      <c r="B39" s="146"/>
      <c r="C39" s="269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1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520"/>
      <c r="AA39" s="521"/>
      <c r="AB39" s="267"/>
      <c r="AC39" s="267"/>
      <c r="AD39" s="267"/>
      <c r="AE39" s="519"/>
      <c r="AF39" s="580"/>
      <c r="AG39" s="581"/>
      <c r="AH39" s="147"/>
    </row>
    <row r="40" spans="1:35" ht="12.75" x14ac:dyDescent="0.2">
      <c r="A40" s="288"/>
      <c r="B40" s="146"/>
      <c r="C40" s="269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1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582">
        <f>COUNTA(C40:Y40)*21</f>
        <v>0</v>
      </c>
      <c r="AA40" s="583">
        <f t="shared" si="1"/>
        <v>0</v>
      </c>
      <c r="AB40" s="282"/>
      <c r="AC40" s="282"/>
      <c r="AD40" s="282"/>
      <c r="AE40" s="518"/>
      <c r="AF40" s="580">
        <f t="shared" si="2"/>
        <v>0</v>
      </c>
      <c r="AG40" s="581">
        <f t="shared" si="0"/>
        <v>0</v>
      </c>
      <c r="AH40" s="147"/>
    </row>
    <row r="41" spans="1:35" ht="12.75" x14ac:dyDescent="0.2">
      <c r="A41" s="288"/>
      <c r="B41" s="146"/>
      <c r="C41" s="269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1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582">
        <f>COUNTA(C41:Y41)*21</f>
        <v>0</v>
      </c>
      <c r="AA41" s="583">
        <f t="shared" si="1"/>
        <v>0</v>
      </c>
      <c r="AB41" s="282"/>
      <c r="AC41" s="282"/>
      <c r="AD41" s="282"/>
      <c r="AE41" s="518"/>
      <c r="AF41" s="580">
        <f t="shared" si="2"/>
        <v>0</v>
      </c>
      <c r="AG41" s="581">
        <f t="shared" si="0"/>
        <v>0</v>
      </c>
      <c r="AH41" s="147"/>
    </row>
    <row r="42" spans="1:35" ht="12.75" x14ac:dyDescent="0.2">
      <c r="A42" s="288"/>
      <c r="B42" s="146"/>
      <c r="C42" s="269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1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582">
        <f>COUNTA(C42:Y42)*21</f>
        <v>0</v>
      </c>
      <c r="AA42" s="583">
        <f t="shared" si="1"/>
        <v>0</v>
      </c>
      <c r="AB42" s="282"/>
      <c r="AC42" s="282"/>
      <c r="AD42" s="282"/>
      <c r="AE42" s="518"/>
      <c r="AF42" s="580">
        <f t="shared" si="2"/>
        <v>0</v>
      </c>
      <c r="AG42" s="581">
        <f t="shared" si="0"/>
        <v>0</v>
      </c>
      <c r="AH42" s="147"/>
    </row>
    <row r="43" spans="1:35" ht="12.75" x14ac:dyDescent="0.2">
      <c r="A43" s="288"/>
      <c r="B43" s="146"/>
      <c r="C43" s="269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1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582">
        <f>COUNTA(C43:Y43)*21</f>
        <v>0</v>
      </c>
      <c r="AA43" s="583">
        <f t="shared" si="1"/>
        <v>0</v>
      </c>
      <c r="AB43" s="282"/>
      <c r="AC43" s="282"/>
      <c r="AD43" s="282"/>
      <c r="AE43" s="518"/>
      <c r="AF43" s="580">
        <f t="shared" si="2"/>
        <v>0</v>
      </c>
      <c r="AG43" s="581">
        <f t="shared" si="0"/>
        <v>0</v>
      </c>
      <c r="AH43" s="147"/>
    </row>
    <row r="44" spans="1:35" ht="12.75" x14ac:dyDescent="0.2">
      <c r="A44" s="288"/>
      <c r="B44" s="146"/>
      <c r="C44" s="269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1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582">
        <f>COUNTA(C44:Y44)*21</f>
        <v>0</v>
      </c>
      <c r="AA44" s="583">
        <f t="shared" si="1"/>
        <v>0</v>
      </c>
      <c r="AB44" s="282"/>
      <c r="AC44" s="282"/>
      <c r="AD44" s="282"/>
      <c r="AE44" s="518"/>
      <c r="AF44" s="580">
        <f t="shared" si="2"/>
        <v>0</v>
      </c>
      <c r="AG44" s="581">
        <f t="shared" si="0"/>
        <v>0</v>
      </c>
      <c r="AH44" s="147"/>
      <c r="AI44" s="147"/>
    </row>
    <row r="45" spans="1:35" x14ac:dyDescent="0.2">
      <c r="A45" s="287" t="s">
        <v>156</v>
      </c>
      <c r="B45" s="146"/>
      <c r="C45" s="269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1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520"/>
      <c r="AA45" s="521"/>
      <c r="AB45" s="267"/>
      <c r="AC45" s="267"/>
      <c r="AD45" s="267"/>
      <c r="AE45" s="519"/>
      <c r="AF45" s="580"/>
      <c r="AG45" s="581"/>
      <c r="AH45" s="147"/>
      <c r="AI45" s="147"/>
    </row>
    <row r="46" spans="1:35" ht="13.5" thickBot="1" x14ac:dyDescent="0.25">
      <c r="A46" s="288" t="s">
        <v>157</v>
      </c>
      <c r="B46" s="146"/>
      <c r="C46" s="269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1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582">
        <f>COUNTA(C46:Y46)*21</f>
        <v>0</v>
      </c>
      <c r="AA46" s="583">
        <f t="shared" si="1"/>
        <v>0</v>
      </c>
      <c r="AB46" s="282"/>
      <c r="AC46" s="282"/>
      <c r="AD46" s="282"/>
      <c r="AE46" s="518"/>
      <c r="AF46" s="580">
        <f t="shared" si="2"/>
        <v>0</v>
      </c>
      <c r="AG46" s="581">
        <f t="shared" si="0"/>
        <v>0</v>
      </c>
      <c r="AH46" s="147"/>
      <c r="AI46" s="147"/>
    </row>
    <row r="47" spans="1:35" ht="12.75" thickBot="1" x14ac:dyDescent="0.25">
      <c r="A47" s="289" t="s">
        <v>160</v>
      </c>
      <c r="B47" s="148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68"/>
      <c r="AA47" s="268"/>
      <c r="AB47" s="268"/>
      <c r="AC47" s="268"/>
      <c r="AD47" s="268"/>
      <c r="AE47" s="268"/>
      <c r="AF47" s="576">
        <f>SUM(AF4:AF46)</f>
        <v>0</v>
      </c>
      <c r="AG47" s="577">
        <f>SUM(AG4:AG46)</f>
        <v>714042</v>
      </c>
      <c r="AH47" s="149"/>
      <c r="AI47" s="149"/>
    </row>
    <row r="48" spans="1:35" x14ac:dyDescent="0.2">
      <c r="AH48" s="150"/>
      <c r="AI48" s="150"/>
    </row>
    <row r="50" spans="33:33" ht="15.75" x14ac:dyDescent="0.25">
      <c r="AG50" s="151"/>
    </row>
  </sheetData>
  <conditionalFormatting sqref="C4:Y46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3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CC"/>
  </sheetPr>
  <dimension ref="A1:F28"/>
  <sheetViews>
    <sheetView view="pageBreakPreview" zoomScale="60" zoomScaleNormal="100" workbookViewId="0"/>
  </sheetViews>
  <sheetFormatPr defaultColWidth="8.85546875" defaultRowHeight="15" x14ac:dyDescent="0.25"/>
  <cols>
    <col min="1" max="1" width="51.42578125" customWidth="1"/>
    <col min="2" max="2" width="13.42578125" bestFit="1" customWidth="1"/>
    <col min="4" max="4" width="18.28515625" bestFit="1" customWidth="1"/>
    <col min="5" max="5" width="16" bestFit="1" customWidth="1"/>
    <col min="6" max="6" width="48.85546875" customWidth="1"/>
  </cols>
  <sheetData>
    <row r="1" spans="1:6" ht="15.75" thickBot="1" x14ac:dyDescent="0.3"/>
    <row r="2" spans="1:6" ht="15.75" thickBot="1" x14ac:dyDescent="0.3">
      <c r="A2" s="551" t="s">
        <v>343</v>
      </c>
      <c r="B2" s="551" t="s">
        <v>344</v>
      </c>
      <c r="C2" s="551" t="s">
        <v>345</v>
      </c>
      <c r="D2" s="555" t="s">
        <v>346</v>
      </c>
      <c r="E2" s="555" t="s">
        <v>347</v>
      </c>
      <c r="F2" s="551" t="s">
        <v>348</v>
      </c>
    </row>
    <row r="3" spans="1:6" x14ac:dyDescent="0.25">
      <c r="A3" s="549" t="s">
        <v>349</v>
      </c>
      <c r="B3" s="552" t="s">
        <v>350</v>
      </c>
      <c r="C3" s="552">
        <v>3</v>
      </c>
      <c r="D3" s="556">
        <v>2500</v>
      </c>
      <c r="E3" s="554">
        <f>D3*C3</f>
        <v>7500</v>
      </c>
      <c r="F3" s="550"/>
    </row>
    <row r="4" spans="1:6" x14ac:dyDescent="0.25">
      <c r="A4" s="288" t="s">
        <v>351</v>
      </c>
      <c r="B4" s="553" t="s">
        <v>350</v>
      </c>
      <c r="C4" s="553">
        <v>5</v>
      </c>
      <c r="D4" s="557">
        <v>4000</v>
      </c>
      <c r="E4" s="554">
        <f t="shared" ref="E4:E28" si="0">D4*C4</f>
        <v>20000</v>
      </c>
      <c r="F4" s="548"/>
    </row>
    <row r="5" spans="1:6" x14ac:dyDescent="0.25">
      <c r="A5" s="288"/>
      <c r="B5" s="553"/>
      <c r="C5" s="553"/>
      <c r="D5" s="557"/>
      <c r="E5" s="554">
        <f t="shared" si="0"/>
        <v>0</v>
      </c>
      <c r="F5" s="548"/>
    </row>
    <row r="6" spans="1:6" x14ac:dyDescent="0.25">
      <c r="A6" s="288"/>
      <c r="B6" s="553"/>
      <c r="C6" s="553"/>
      <c r="D6" s="557"/>
      <c r="E6" s="554">
        <f t="shared" si="0"/>
        <v>0</v>
      </c>
      <c r="F6" s="548"/>
    </row>
    <row r="7" spans="1:6" x14ac:dyDescent="0.25">
      <c r="A7" s="288"/>
      <c r="B7" s="553"/>
      <c r="C7" s="553"/>
      <c r="D7" s="557"/>
      <c r="E7" s="554">
        <f t="shared" si="0"/>
        <v>0</v>
      </c>
      <c r="F7" s="548"/>
    </row>
    <row r="8" spans="1:6" x14ac:dyDescent="0.25">
      <c r="A8" s="288"/>
      <c r="B8" s="553"/>
      <c r="C8" s="553"/>
      <c r="D8" s="557"/>
      <c r="E8" s="554">
        <f t="shared" si="0"/>
        <v>0</v>
      </c>
      <c r="F8" s="548"/>
    </row>
    <row r="9" spans="1:6" x14ac:dyDescent="0.25">
      <c r="A9" s="288"/>
      <c r="B9" s="553"/>
      <c r="C9" s="553"/>
      <c r="D9" s="557"/>
      <c r="E9" s="554">
        <f t="shared" si="0"/>
        <v>0</v>
      </c>
      <c r="F9" s="548"/>
    </row>
    <row r="10" spans="1:6" x14ac:dyDescent="0.25">
      <c r="A10" s="288"/>
      <c r="B10" s="553"/>
      <c r="C10" s="553"/>
      <c r="D10" s="557"/>
      <c r="E10" s="554">
        <f t="shared" si="0"/>
        <v>0</v>
      </c>
      <c r="F10" s="548"/>
    </row>
    <row r="11" spans="1:6" x14ac:dyDescent="0.25">
      <c r="A11" s="288"/>
      <c r="B11" s="553"/>
      <c r="C11" s="553"/>
      <c r="D11" s="557"/>
      <c r="E11" s="554">
        <f t="shared" si="0"/>
        <v>0</v>
      </c>
      <c r="F11" s="548"/>
    </row>
    <row r="12" spans="1:6" x14ac:dyDescent="0.25">
      <c r="A12" s="288"/>
      <c r="B12" s="553"/>
      <c r="C12" s="553"/>
      <c r="D12" s="557"/>
      <c r="E12" s="554">
        <f t="shared" si="0"/>
        <v>0</v>
      </c>
      <c r="F12" s="548"/>
    </row>
    <row r="13" spans="1:6" x14ac:dyDescent="0.25">
      <c r="A13" s="288"/>
      <c r="B13" s="553"/>
      <c r="C13" s="553"/>
      <c r="D13" s="557"/>
      <c r="E13" s="554">
        <f t="shared" si="0"/>
        <v>0</v>
      </c>
      <c r="F13" s="548"/>
    </row>
    <row r="14" spans="1:6" x14ac:dyDescent="0.25">
      <c r="A14" s="288"/>
      <c r="B14" s="553"/>
      <c r="C14" s="553"/>
      <c r="D14" s="557"/>
      <c r="E14" s="554">
        <f t="shared" si="0"/>
        <v>0</v>
      </c>
      <c r="F14" s="548"/>
    </row>
    <row r="15" spans="1:6" x14ac:dyDescent="0.25">
      <c r="A15" s="288"/>
      <c r="B15" s="553"/>
      <c r="C15" s="553"/>
      <c r="D15" s="557"/>
      <c r="E15" s="554">
        <f t="shared" si="0"/>
        <v>0</v>
      </c>
      <c r="F15" s="548"/>
    </row>
    <row r="16" spans="1:6" x14ac:dyDescent="0.25">
      <c r="A16" s="288"/>
      <c r="B16" s="553"/>
      <c r="C16" s="553"/>
      <c r="D16" s="557"/>
      <c r="E16" s="554">
        <f t="shared" si="0"/>
        <v>0</v>
      </c>
      <c r="F16" s="548"/>
    </row>
    <row r="17" spans="1:6" x14ac:dyDescent="0.25">
      <c r="A17" s="288"/>
      <c r="B17" s="553"/>
      <c r="C17" s="553"/>
      <c r="D17" s="557"/>
      <c r="E17" s="554">
        <f t="shared" si="0"/>
        <v>0</v>
      </c>
      <c r="F17" s="548"/>
    </row>
    <row r="18" spans="1:6" x14ac:dyDescent="0.25">
      <c r="A18" s="288"/>
      <c r="B18" s="553"/>
      <c r="C18" s="553"/>
      <c r="D18" s="557"/>
      <c r="E18" s="554">
        <f t="shared" si="0"/>
        <v>0</v>
      </c>
      <c r="F18" s="548"/>
    </row>
    <row r="19" spans="1:6" x14ac:dyDescent="0.25">
      <c r="A19" s="288"/>
      <c r="B19" s="553"/>
      <c r="C19" s="553"/>
      <c r="D19" s="557"/>
      <c r="E19" s="554">
        <f t="shared" si="0"/>
        <v>0</v>
      </c>
      <c r="F19" s="548"/>
    </row>
    <row r="20" spans="1:6" x14ac:dyDescent="0.25">
      <c r="A20" s="288"/>
      <c r="B20" s="553"/>
      <c r="C20" s="553"/>
      <c r="D20" s="557"/>
      <c r="E20" s="554">
        <f t="shared" si="0"/>
        <v>0</v>
      </c>
      <c r="F20" s="548"/>
    </row>
    <row r="21" spans="1:6" x14ac:dyDescent="0.25">
      <c r="A21" s="288"/>
      <c r="B21" s="553"/>
      <c r="C21" s="553"/>
      <c r="D21" s="557"/>
      <c r="E21" s="554">
        <f t="shared" si="0"/>
        <v>0</v>
      </c>
      <c r="F21" s="548"/>
    </row>
    <row r="22" spans="1:6" x14ac:dyDescent="0.25">
      <c r="A22" s="288"/>
      <c r="B22" s="553"/>
      <c r="C22" s="553"/>
      <c r="D22" s="557"/>
      <c r="E22" s="554">
        <f t="shared" si="0"/>
        <v>0</v>
      </c>
      <c r="F22" s="548"/>
    </row>
    <row r="23" spans="1:6" x14ac:dyDescent="0.25">
      <c r="A23" s="288"/>
      <c r="B23" s="553"/>
      <c r="C23" s="553"/>
      <c r="D23" s="557"/>
      <c r="E23" s="554">
        <f t="shared" si="0"/>
        <v>0</v>
      </c>
      <c r="F23" s="548"/>
    </row>
    <row r="24" spans="1:6" x14ac:dyDescent="0.25">
      <c r="A24" s="288"/>
      <c r="B24" s="553"/>
      <c r="C24" s="553"/>
      <c r="D24" s="557"/>
      <c r="E24" s="554">
        <f t="shared" si="0"/>
        <v>0</v>
      </c>
      <c r="F24" s="548"/>
    </row>
    <row r="25" spans="1:6" x14ac:dyDescent="0.25">
      <c r="A25" s="288"/>
      <c r="B25" s="553"/>
      <c r="C25" s="553"/>
      <c r="D25" s="557"/>
      <c r="E25" s="554">
        <f t="shared" si="0"/>
        <v>0</v>
      </c>
      <c r="F25" s="548"/>
    </row>
    <row r="26" spans="1:6" x14ac:dyDescent="0.25">
      <c r="A26" s="288"/>
      <c r="B26" s="553"/>
      <c r="C26" s="553"/>
      <c r="D26" s="557"/>
      <c r="E26" s="554">
        <f t="shared" si="0"/>
        <v>0</v>
      </c>
      <c r="F26" s="548"/>
    </row>
    <row r="27" spans="1:6" x14ac:dyDescent="0.25">
      <c r="A27" s="288"/>
      <c r="B27" s="553"/>
      <c r="C27" s="553"/>
      <c r="D27" s="557"/>
      <c r="E27" s="554">
        <f t="shared" si="0"/>
        <v>0</v>
      </c>
      <c r="F27" s="548"/>
    </row>
    <row r="28" spans="1:6" x14ac:dyDescent="0.25">
      <c r="A28" s="288"/>
      <c r="B28" s="553"/>
      <c r="C28" s="553"/>
      <c r="D28" s="557"/>
      <c r="E28" s="554">
        <f t="shared" si="0"/>
        <v>0</v>
      </c>
      <c r="F28" s="548"/>
    </row>
  </sheetData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CC"/>
  </sheetPr>
  <dimension ref="A1:AQ15"/>
  <sheetViews>
    <sheetView view="pageBreakPreview" topLeftCell="F1" zoomScale="60" zoomScaleNormal="80" workbookViewId="0">
      <selection activeCell="P24" sqref="P24"/>
    </sheetView>
  </sheetViews>
  <sheetFormatPr defaultColWidth="8.7109375" defaultRowHeight="12" x14ac:dyDescent="0.2"/>
  <cols>
    <col min="1" max="1" width="36.28515625" style="138" customWidth="1"/>
    <col min="2" max="2" width="34.7109375" style="138" customWidth="1"/>
    <col min="3" max="3" width="3.28515625" style="138" customWidth="1"/>
    <col min="4" max="24" width="3.7109375" style="138" customWidth="1"/>
    <col min="25" max="25" width="4.42578125" style="138" customWidth="1"/>
    <col min="26" max="28" width="16.42578125" style="138" customWidth="1"/>
    <col min="29" max="29" width="18.140625" style="138" customWidth="1"/>
    <col min="30" max="30" width="9" style="138" customWidth="1"/>
    <col min="31" max="31" width="9.140625" style="138" customWidth="1"/>
    <col min="32" max="32" width="9" style="138" customWidth="1"/>
    <col min="33" max="33" width="10.7109375" style="139" customWidth="1"/>
    <col min="34" max="36" width="10.7109375" style="138" customWidth="1"/>
    <col min="37" max="37" width="52.140625" style="138" customWidth="1"/>
    <col min="38" max="38" width="51.7109375" style="138" customWidth="1"/>
    <col min="39" max="42" width="8.7109375" style="138"/>
    <col min="43" max="43" width="18.85546875" style="138" customWidth="1"/>
    <col min="44" max="16384" width="8.7109375" style="138"/>
  </cols>
  <sheetData>
    <row r="1" spans="1:43" ht="26.1" customHeight="1" thickBot="1" x14ac:dyDescent="0.25">
      <c r="A1" s="765" t="s">
        <v>218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558"/>
      <c r="AA1" s="558"/>
      <c r="AB1" s="558"/>
      <c r="AC1" s="558"/>
      <c r="AD1" s="765" t="s">
        <v>216</v>
      </c>
      <c r="AE1" s="765"/>
      <c r="AF1" s="765"/>
      <c r="AG1" s="765"/>
      <c r="AH1" s="765"/>
      <c r="AI1" s="765"/>
      <c r="AJ1" s="765"/>
      <c r="AK1" s="765"/>
    </row>
    <row r="2" spans="1:43" ht="36" customHeight="1" thickBot="1" x14ac:dyDescent="0.25">
      <c r="A2" s="258"/>
      <c r="B2" s="257"/>
      <c r="C2" s="259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60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60"/>
      <c r="Z2" s="766" t="s">
        <v>293</v>
      </c>
      <c r="AA2" s="767"/>
      <c r="AB2" s="767"/>
      <c r="AC2" s="767"/>
      <c r="AD2" s="767"/>
      <c r="AE2" s="767"/>
      <c r="AF2" s="767"/>
      <c r="AG2" s="767"/>
      <c r="AH2" s="767"/>
      <c r="AI2" s="767"/>
      <c r="AJ2" s="767"/>
      <c r="AK2" s="768"/>
      <c r="AL2" s="757" t="s">
        <v>292</v>
      </c>
      <c r="AM2" s="758"/>
      <c r="AN2" s="758"/>
      <c r="AO2" s="758"/>
      <c r="AP2" s="758"/>
      <c r="AQ2" s="759"/>
    </row>
    <row r="3" spans="1:43" ht="36" customHeight="1" thickBot="1" x14ac:dyDescent="0.25">
      <c r="A3" s="343"/>
      <c r="B3" s="341"/>
      <c r="C3" s="342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0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0"/>
      <c r="Z3" s="757" t="s">
        <v>355</v>
      </c>
      <c r="AA3" s="758"/>
      <c r="AB3" s="758"/>
      <c r="AC3" s="758"/>
      <c r="AD3" s="757" t="s">
        <v>356</v>
      </c>
      <c r="AE3" s="758"/>
      <c r="AF3" s="758"/>
      <c r="AG3" s="758"/>
      <c r="AH3" s="758"/>
      <c r="AI3" s="758"/>
      <c r="AJ3" s="758"/>
      <c r="AK3" s="759"/>
      <c r="AL3" s="263"/>
      <c r="AM3" s="264"/>
      <c r="AN3" s="264"/>
      <c r="AO3" s="264"/>
      <c r="AP3" s="264"/>
      <c r="AQ3" s="254"/>
    </row>
    <row r="4" spans="1:43" ht="51" customHeight="1" x14ac:dyDescent="0.2">
      <c r="A4" s="343" t="s">
        <v>219</v>
      </c>
      <c r="B4" s="644" t="s">
        <v>368</v>
      </c>
      <c r="C4" s="342" t="s">
        <v>122</v>
      </c>
      <c r="D4" s="341" t="s">
        <v>123</v>
      </c>
      <c r="E4" s="341" t="s">
        <v>124</v>
      </c>
      <c r="F4" s="341" t="s">
        <v>125</v>
      </c>
      <c r="G4" s="341" t="s">
        <v>126</v>
      </c>
      <c r="H4" s="341" t="s">
        <v>127</v>
      </c>
      <c r="I4" s="341" t="s">
        <v>128</v>
      </c>
      <c r="J4" s="341" t="s">
        <v>129</v>
      </c>
      <c r="K4" s="341" t="s">
        <v>130</v>
      </c>
      <c r="L4" s="341" t="s">
        <v>131</v>
      </c>
      <c r="M4" s="341" t="s">
        <v>132</v>
      </c>
      <c r="N4" s="340" t="s">
        <v>133</v>
      </c>
      <c r="O4" s="341" t="s">
        <v>134</v>
      </c>
      <c r="P4" s="341" t="s">
        <v>135</v>
      </c>
      <c r="Q4" s="341" t="s">
        <v>136</v>
      </c>
      <c r="R4" s="341" t="s">
        <v>137</v>
      </c>
      <c r="S4" s="341" t="s">
        <v>138</v>
      </c>
      <c r="T4" s="341" t="s">
        <v>139</v>
      </c>
      <c r="U4" s="341" t="s">
        <v>140</v>
      </c>
      <c r="V4" s="341" t="s">
        <v>141</v>
      </c>
      <c r="W4" s="341" t="s">
        <v>142</v>
      </c>
      <c r="X4" s="341" t="s">
        <v>143</v>
      </c>
      <c r="Y4" s="340" t="s">
        <v>144</v>
      </c>
      <c r="Z4" s="259" t="s">
        <v>357</v>
      </c>
      <c r="AA4" s="257" t="s">
        <v>358</v>
      </c>
      <c r="AB4" s="257" t="s">
        <v>359</v>
      </c>
      <c r="AC4" s="257" t="s">
        <v>360</v>
      </c>
      <c r="AD4" s="261" t="s">
        <v>210</v>
      </c>
      <c r="AE4" s="262" t="s">
        <v>211</v>
      </c>
      <c r="AF4" s="262" t="s">
        <v>212</v>
      </c>
      <c r="AG4" s="254" t="s">
        <v>215</v>
      </c>
      <c r="AH4" s="254" t="s">
        <v>214</v>
      </c>
      <c r="AI4" s="254" t="s">
        <v>161</v>
      </c>
      <c r="AJ4" s="760" t="s">
        <v>217</v>
      </c>
      <c r="AK4" s="620" t="s">
        <v>220</v>
      </c>
      <c r="AL4" s="620" t="s">
        <v>291</v>
      </c>
      <c r="AM4" s="261" t="s">
        <v>210</v>
      </c>
      <c r="AN4" s="262" t="s">
        <v>211</v>
      </c>
      <c r="AO4" s="262" t="s">
        <v>212</v>
      </c>
      <c r="AP4" s="254" t="s">
        <v>215</v>
      </c>
      <c r="AQ4" s="763" t="s">
        <v>290</v>
      </c>
    </row>
    <row r="5" spans="1:43" ht="8.25" customHeight="1" thickBot="1" x14ac:dyDescent="0.25">
      <c r="A5" s="141"/>
      <c r="B5" s="142"/>
      <c r="C5" s="143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4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4"/>
      <c r="Z5" s="143"/>
      <c r="AA5" s="142"/>
      <c r="AB5" s="142"/>
      <c r="AC5" s="142"/>
      <c r="AD5" s="263"/>
      <c r="AE5" s="264"/>
      <c r="AF5" s="264"/>
      <c r="AG5" s="272"/>
      <c r="AH5" s="272"/>
      <c r="AI5" s="272"/>
      <c r="AJ5" s="761"/>
      <c r="AK5" s="339"/>
      <c r="AL5" s="274"/>
      <c r="AM5" s="263"/>
      <c r="AN5" s="264"/>
      <c r="AO5" s="264"/>
      <c r="AP5" s="272"/>
      <c r="AQ5" s="764"/>
    </row>
    <row r="6" spans="1:43" ht="15" customHeight="1" x14ac:dyDescent="0.2">
      <c r="A6" s="255" t="s">
        <v>213</v>
      </c>
      <c r="B6" s="255"/>
      <c r="C6" s="350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2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2"/>
      <c r="Z6" s="622"/>
      <c r="AA6" s="623"/>
      <c r="AB6" s="623"/>
      <c r="AC6" s="624"/>
      <c r="AD6" s="585"/>
      <c r="AE6" s="282"/>
      <c r="AF6" s="282"/>
      <c r="AG6" s="575">
        <f t="shared" ref="AG6:AG11" si="0">AD6*AF6+AC6</f>
        <v>0</v>
      </c>
      <c r="AH6" s="575">
        <f t="shared" ref="AH6:AH11" si="1">AE6*AF6+AC6</f>
        <v>0</v>
      </c>
      <c r="AI6" s="575">
        <f t="shared" ref="AI6:AI11" si="2">AH6-AG6</f>
        <v>0</v>
      </c>
      <c r="AJ6" s="761"/>
      <c r="AK6" s="587"/>
      <c r="AL6" s="584"/>
      <c r="AM6" s="585"/>
      <c r="AN6" s="282"/>
      <c r="AO6" s="282"/>
      <c r="AP6" s="575">
        <f t="shared" ref="AP6:AP11" si="3">AM6*AO6</f>
        <v>0</v>
      </c>
      <c r="AQ6" s="587"/>
    </row>
    <row r="7" spans="1:43" ht="15" customHeight="1" x14ac:dyDescent="0.2">
      <c r="A7" s="255" t="s">
        <v>166</v>
      </c>
      <c r="B7" s="255"/>
      <c r="C7" s="353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5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5"/>
      <c r="Z7" s="625"/>
      <c r="AA7" s="626"/>
      <c r="AB7" s="626"/>
      <c r="AC7" s="627"/>
      <c r="AD7" s="585"/>
      <c r="AE7" s="282"/>
      <c r="AF7" s="282"/>
      <c r="AG7" s="575">
        <f t="shared" si="0"/>
        <v>0</v>
      </c>
      <c r="AH7" s="575">
        <f t="shared" si="1"/>
        <v>0</v>
      </c>
      <c r="AI7" s="575">
        <f t="shared" si="2"/>
        <v>0</v>
      </c>
      <c r="AJ7" s="761"/>
      <c r="AK7" s="588"/>
      <c r="AL7" s="585"/>
      <c r="AM7" s="585"/>
      <c r="AN7" s="282"/>
      <c r="AO7" s="282"/>
      <c r="AP7" s="575">
        <f t="shared" si="3"/>
        <v>0</v>
      </c>
      <c r="AQ7" s="588"/>
    </row>
    <row r="8" spans="1:43" ht="15" customHeight="1" x14ac:dyDescent="0.2">
      <c r="A8" s="255" t="s">
        <v>167</v>
      </c>
      <c r="B8" s="255"/>
      <c r="C8" s="353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5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55"/>
      <c r="Z8" s="625"/>
      <c r="AA8" s="626"/>
      <c r="AB8" s="626"/>
      <c r="AC8" s="627"/>
      <c r="AD8" s="585"/>
      <c r="AE8" s="282"/>
      <c r="AF8" s="282"/>
      <c r="AG8" s="575">
        <f t="shared" si="0"/>
        <v>0</v>
      </c>
      <c r="AH8" s="575">
        <f t="shared" si="1"/>
        <v>0</v>
      </c>
      <c r="AI8" s="575">
        <f t="shared" si="2"/>
        <v>0</v>
      </c>
      <c r="AJ8" s="761"/>
      <c r="AK8" s="588"/>
      <c r="AL8" s="585"/>
      <c r="AM8" s="585"/>
      <c r="AN8" s="282"/>
      <c r="AO8" s="282"/>
      <c r="AP8" s="575">
        <f t="shared" si="3"/>
        <v>0</v>
      </c>
      <c r="AQ8" s="588"/>
    </row>
    <row r="9" spans="1:43" ht="15" customHeight="1" x14ac:dyDescent="0.2">
      <c r="A9" s="255" t="s">
        <v>168</v>
      </c>
      <c r="B9" s="255"/>
      <c r="C9" s="353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5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5"/>
      <c r="Z9" s="625"/>
      <c r="AA9" s="626"/>
      <c r="AB9" s="626"/>
      <c r="AC9" s="627"/>
      <c r="AD9" s="585"/>
      <c r="AE9" s="282"/>
      <c r="AF9" s="282"/>
      <c r="AG9" s="575">
        <f t="shared" si="0"/>
        <v>0</v>
      </c>
      <c r="AH9" s="575">
        <f t="shared" si="1"/>
        <v>0</v>
      </c>
      <c r="AI9" s="575">
        <f t="shared" si="2"/>
        <v>0</v>
      </c>
      <c r="AJ9" s="761"/>
      <c r="AK9" s="588"/>
      <c r="AL9" s="585"/>
      <c r="AM9" s="585"/>
      <c r="AN9" s="282"/>
      <c r="AO9" s="282"/>
      <c r="AP9" s="575">
        <f t="shared" si="3"/>
        <v>0</v>
      </c>
      <c r="AQ9" s="588"/>
    </row>
    <row r="10" spans="1:43" ht="15" customHeight="1" x14ac:dyDescent="0.2">
      <c r="A10" s="255" t="s">
        <v>171</v>
      </c>
      <c r="B10" s="255"/>
      <c r="C10" s="353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5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5"/>
      <c r="Z10" s="625"/>
      <c r="AA10" s="626"/>
      <c r="AB10" s="626"/>
      <c r="AC10" s="627"/>
      <c r="AD10" s="585"/>
      <c r="AE10" s="282"/>
      <c r="AF10" s="282"/>
      <c r="AG10" s="575">
        <f t="shared" si="0"/>
        <v>0</v>
      </c>
      <c r="AH10" s="575">
        <f t="shared" si="1"/>
        <v>0</v>
      </c>
      <c r="AI10" s="575">
        <f t="shared" si="2"/>
        <v>0</v>
      </c>
      <c r="AJ10" s="761"/>
      <c r="AK10" s="588"/>
      <c r="AL10" s="585"/>
      <c r="AM10" s="585"/>
      <c r="AN10" s="282"/>
      <c r="AO10" s="282"/>
      <c r="AP10" s="575">
        <f t="shared" si="3"/>
        <v>0</v>
      </c>
      <c r="AQ10" s="588"/>
    </row>
    <row r="11" spans="1:43" ht="15.95" customHeight="1" thickBot="1" x14ac:dyDescent="0.25">
      <c r="A11" s="256" t="s">
        <v>159</v>
      </c>
      <c r="B11" s="256"/>
      <c r="C11" s="356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8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8"/>
      <c r="Z11" s="628"/>
      <c r="AA11" s="629"/>
      <c r="AB11" s="629"/>
      <c r="AC11" s="630"/>
      <c r="AD11" s="586"/>
      <c r="AE11" s="283"/>
      <c r="AF11" s="283"/>
      <c r="AG11" s="621">
        <f t="shared" si="0"/>
        <v>0</v>
      </c>
      <c r="AH11" s="621">
        <f t="shared" si="1"/>
        <v>0</v>
      </c>
      <c r="AI11" s="621">
        <f t="shared" si="2"/>
        <v>0</v>
      </c>
      <c r="AJ11" s="762"/>
      <c r="AK11" s="589"/>
      <c r="AL11" s="586"/>
      <c r="AM11" s="586"/>
      <c r="AN11" s="283"/>
      <c r="AO11" s="283"/>
      <c r="AP11" s="575">
        <f t="shared" si="3"/>
        <v>0</v>
      </c>
      <c r="AQ11" s="589"/>
    </row>
    <row r="12" spans="1:43" ht="12.75" thickBot="1" x14ac:dyDescent="0.25">
      <c r="A12" s="249" t="s">
        <v>160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619"/>
      <c r="AA12" s="619"/>
      <c r="AB12" s="619"/>
      <c r="AC12" s="619">
        <f t="shared" ref="AC12:AI12" si="4">SUM(AC6:AC11)</f>
        <v>0</v>
      </c>
      <c r="AD12" s="268">
        <f t="shared" si="4"/>
        <v>0</v>
      </c>
      <c r="AE12" s="268">
        <f t="shared" si="4"/>
        <v>0</v>
      </c>
      <c r="AF12" s="268">
        <f t="shared" si="4"/>
        <v>0</v>
      </c>
      <c r="AG12" s="273">
        <f t="shared" si="4"/>
        <v>0</v>
      </c>
      <c r="AH12" s="273">
        <f t="shared" si="4"/>
        <v>0</v>
      </c>
      <c r="AI12" s="273">
        <f t="shared" si="4"/>
        <v>0</v>
      </c>
      <c r="AJ12" s="338">
        <v>0</v>
      </c>
      <c r="AK12" s="337"/>
      <c r="AL12" s="268"/>
      <c r="AM12" s="268">
        <f>SUM(AM6:AM11)</f>
        <v>0</v>
      </c>
      <c r="AN12" s="268">
        <f>SUM(AN6:AN11)</f>
        <v>0</v>
      </c>
      <c r="AO12" s="268">
        <f>SUM(AO6:AO11)</f>
        <v>0</v>
      </c>
      <c r="AP12" s="273">
        <f>SUM(AP6:AP11)</f>
        <v>0</v>
      </c>
      <c r="AQ12" s="273"/>
    </row>
    <row r="13" spans="1:43" x14ac:dyDescent="0.2">
      <c r="AH13" s="150"/>
      <c r="AI13" s="150"/>
      <c r="AJ13" s="150"/>
    </row>
    <row r="15" spans="1:43" ht="15.75" x14ac:dyDescent="0.25">
      <c r="AG15" s="151"/>
    </row>
  </sheetData>
  <mergeCells count="8">
    <mergeCell ref="AL2:AQ2"/>
    <mergeCell ref="AJ4:AJ11"/>
    <mergeCell ref="AQ4:AQ5"/>
    <mergeCell ref="A1:Y1"/>
    <mergeCell ref="AD1:AK1"/>
    <mergeCell ref="Z2:AK2"/>
    <mergeCell ref="Z3:AC3"/>
    <mergeCell ref="AD3:AK3"/>
  </mergeCells>
  <conditionalFormatting sqref="C6:AC11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1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CC"/>
  </sheetPr>
  <dimension ref="A1:D14"/>
  <sheetViews>
    <sheetView view="pageBreakPreview" zoomScale="60" zoomScaleNormal="80" workbookViewId="0">
      <selection activeCell="G16" sqref="G16"/>
    </sheetView>
  </sheetViews>
  <sheetFormatPr defaultColWidth="8.85546875" defaultRowHeight="15" x14ac:dyDescent="0.25"/>
  <cols>
    <col min="1" max="1" width="32.28515625" style="4" customWidth="1"/>
    <col min="2" max="2" width="66.7109375" style="4" customWidth="1"/>
    <col min="3" max="3" width="14.28515625" style="6" customWidth="1"/>
    <col min="4" max="4" width="23.42578125" style="4" customWidth="1"/>
    <col min="5" max="16384" width="8.85546875" style="4"/>
  </cols>
  <sheetData>
    <row r="1" spans="1:4" ht="18" thickTop="1" thickBot="1" x14ac:dyDescent="0.3">
      <c r="A1" s="1" t="s">
        <v>0</v>
      </c>
      <c r="B1" s="2" t="s">
        <v>1</v>
      </c>
      <c r="C1" s="5" t="s">
        <v>10</v>
      </c>
      <c r="D1" s="3" t="s">
        <v>2</v>
      </c>
    </row>
    <row r="2" spans="1:4" ht="147" customHeight="1" thickTop="1" thickBot="1" x14ac:dyDescent="0.3">
      <c r="A2" s="525" t="s">
        <v>3</v>
      </c>
      <c r="B2" s="526" t="s">
        <v>4</v>
      </c>
      <c r="C2" s="527" t="s">
        <v>11</v>
      </c>
      <c r="D2" s="203">
        <v>10</v>
      </c>
    </row>
    <row r="3" spans="1:4" ht="41.45" customHeight="1" x14ac:dyDescent="0.25">
      <c r="A3" s="777" t="s">
        <v>5</v>
      </c>
      <c r="B3" s="788" t="s">
        <v>14</v>
      </c>
      <c r="C3" s="790" t="s">
        <v>12</v>
      </c>
      <c r="D3" s="779">
        <v>0.04</v>
      </c>
    </row>
    <row r="4" spans="1:4" ht="63" customHeight="1" thickBot="1" x14ac:dyDescent="0.3">
      <c r="A4" s="778"/>
      <c r="B4" s="789"/>
      <c r="C4" s="791"/>
      <c r="D4" s="780"/>
    </row>
    <row r="5" spans="1:4" ht="49.5" x14ac:dyDescent="0.25">
      <c r="A5" s="777" t="s">
        <v>6</v>
      </c>
      <c r="B5" s="528" t="s">
        <v>7</v>
      </c>
      <c r="C5" s="790" t="s">
        <v>12</v>
      </c>
      <c r="D5" s="781">
        <v>0.05</v>
      </c>
    </row>
    <row r="6" spans="1:4" ht="50.25" thickBot="1" x14ac:dyDescent="0.3">
      <c r="A6" s="778"/>
      <c r="B6" s="526" t="s">
        <v>8</v>
      </c>
      <c r="C6" s="791"/>
      <c r="D6" s="782"/>
    </row>
    <row r="7" spans="1:4" ht="33.75" thickBot="1" x14ac:dyDescent="0.3">
      <c r="A7" s="529" t="s">
        <v>190</v>
      </c>
      <c r="B7" s="530" t="s">
        <v>335</v>
      </c>
      <c r="C7" s="531" t="s">
        <v>13</v>
      </c>
      <c r="D7" s="202">
        <v>1373</v>
      </c>
    </row>
    <row r="8" spans="1:4" ht="15" customHeight="1" x14ac:dyDescent="0.25">
      <c r="A8" s="783" t="s">
        <v>9</v>
      </c>
      <c r="B8" s="773" t="s">
        <v>340</v>
      </c>
      <c r="C8" s="792" t="s">
        <v>15</v>
      </c>
      <c r="D8" s="785">
        <f>$D$7*1.352/(D12/12)</f>
        <v>11.379592337164752</v>
      </c>
    </row>
    <row r="9" spans="1:4" ht="57" customHeight="1" thickBot="1" x14ac:dyDescent="0.3">
      <c r="A9" s="784"/>
      <c r="B9" s="787"/>
      <c r="C9" s="793"/>
      <c r="D9" s="786"/>
    </row>
    <row r="10" spans="1:4" x14ac:dyDescent="0.25">
      <c r="A10" s="771" t="s">
        <v>191</v>
      </c>
      <c r="B10" s="773" t="s">
        <v>336</v>
      </c>
      <c r="C10" s="769" t="s">
        <v>15</v>
      </c>
      <c r="D10" s="775">
        <v>5.55</v>
      </c>
    </row>
    <row r="11" spans="1:4" ht="20.25" customHeight="1" thickBot="1" x14ac:dyDescent="0.3">
      <c r="A11" s="772"/>
      <c r="B11" s="774"/>
      <c r="C11" s="770"/>
      <c r="D11" s="776"/>
    </row>
    <row r="12" spans="1:4" ht="72" customHeight="1" thickBot="1" x14ac:dyDescent="0.3">
      <c r="A12" s="532" t="s">
        <v>337</v>
      </c>
      <c r="B12" s="530" t="s">
        <v>342</v>
      </c>
      <c r="C12" s="533" t="s">
        <v>338</v>
      </c>
      <c r="D12" s="535">
        <v>1957.5</v>
      </c>
    </row>
    <row r="13" spans="1:4" ht="72" customHeight="1" thickBot="1" x14ac:dyDescent="0.3">
      <c r="A13" s="532" t="s">
        <v>339</v>
      </c>
      <c r="B13" s="530" t="s">
        <v>341</v>
      </c>
      <c r="C13" s="533" t="s">
        <v>338</v>
      </c>
      <c r="D13" s="534">
        <v>2088</v>
      </c>
    </row>
    <row r="14" spans="1:4" ht="21" customHeight="1" thickBot="1" x14ac:dyDescent="0.3">
      <c r="A14" s="532" t="s">
        <v>25</v>
      </c>
      <c r="B14" s="532" t="s">
        <v>112</v>
      </c>
      <c r="C14" s="533" t="s">
        <v>11</v>
      </c>
      <c r="D14" s="108">
        <v>2020</v>
      </c>
    </row>
  </sheetData>
  <mergeCells count="15">
    <mergeCell ref="C10:C11"/>
    <mergeCell ref="A10:A11"/>
    <mergeCell ref="B10:B11"/>
    <mergeCell ref="D10:D11"/>
    <mergeCell ref="A3:A4"/>
    <mergeCell ref="D3:D4"/>
    <mergeCell ref="A5:A6"/>
    <mergeCell ref="D5:D6"/>
    <mergeCell ref="A8:A9"/>
    <mergeCell ref="D8:D9"/>
    <mergeCell ref="B8:B9"/>
    <mergeCell ref="B3:B4"/>
    <mergeCell ref="C3:C4"/>
    <mergeCell ref="C8:C9"/>
    <mergeCell ref="C5:C6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A1:T3"/>
  <sheetViews>
    <sheetView view="pageBreakPreview" topLeftCell="D1" zoomScale="60" zoomScaleNormal="60" workbookViewId="0">
      <selection sqref="A1:Y1"/>
    </sheetView>
  </sheetViews>
  <sheetFormatPr defaultColWidth="8.85546875" defaultRowHeight="15" x14ac:dyDescent="0.25"/>
  <sheetData>
    <row r="1" spans="1:20" x14ac:dyDescent="0.25">
      <c r="A1" t="s">
        <v>235</v>
      </c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</row>
    <row r="2" spans="1:20" x14ac:dyDescent="0.25">
      <c r="A2" t="s">
        <v>236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</row>
    <row r="3" spans="1:20" x14ac:dyDescent="0.25">
      <c r="A3" s="301" t="s">
        <v>237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2" t="s">
        <v>176</v>
      </c>
    </row>
  </sheetData>
  <pageMargins left="0.7" right="0.7" top="0.75" bottom="0.75" header="0.3" footer="0.3"/>
  <pageSetup paperSize="9" scale="33" orientation="portrait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CC"/>
  </sheetPr>
  <dimension ref="A1:AC70"/>
  <sheetViews>
    <sheetView view="pageBreakPreview" topLeftCell="A28" zoomScale="60" zoomScaleNormal="80" workbookViewId="0">
      <selection activeCell="C39" sqref="C39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300" customWidth="1"/>
    <col min="4" max="4" width="14.140625" style="300" customWidth="1"/>
    <col min="5" max="5" width="14.85546875" style="300" customWidth="1"/>
    <col min="6" max="6" width="11.85546875" style="300" customWidth="1"/>
    <col min="7" max="7" width="15.85546875" style="300" customWidth="1"/>
    <col min="8" max="8" width="13.42578125" style="300" customWidth="1"/>
    <col min="9" max="9" width="10" style="300" customWidth="1"/>
    <col min="10" max="28" width="8.42578125" style="300" customWidth="1"/>
  </cols>
  <sheetData>
    <row r="1" spans="1:29" ht="15.75" thickBot="1" x14ac:dyDescent="0.3"/>
    <row r="2" spans="1:29" ht="48.75" customHeight="1" thickBot="1" x14ac:dyDescent="0.3">
      <c r="A2" s="303" t="s">
        <v>238</v>
      </c>
      <c r="B2" s="324" t="s">
        <v>239</v>
      </c>
      <c r="C2" s="322" t="s">
        <v>240</v>
      </c>
      <c r="D2" s="304" t="s">
        <v>241</v>
      </c>
      <c r="E2" s="304" t="s">
        <v>242</v>
      </c>
      <c r="F2" s="329" t="s">
        <v>231</v>
      </c>
      <c r="G2" s="324" t="s">
        <v>243</v>
      </c>
      <c r="H2" s="333" t="s">
        <v>240</v>
      </c>
      <c r="I2" s="305" t="s">
        <v>231</v>
      </c>
      <c r="O2" s="306"/>
      <c r="P2" s="307"/>
      <c r="Q2" s="307"/>
      <c r="R2" s="308"/>
      <c r="S2" s="308"/>
      <c r="T2" s="308"/>
      <c r="U2" s="308"/>
      <c r="V2" s="308"/>
      <c r="W2" s="308"/>
      <c r="X2" s="308"/>
      <c r="Y2" s="307"/>
      <c r="Z2" s="307"/>
      <c r="AA2" s="308"/>
      <c r="AB2" s="308"/>
      <c r="AC2" s="308"/>
    </row>
    <row r="3" spans="1:29" x14ac:dyDescent="0.25">
      <c r="A3" s="309" t="s">
        <v>178</v>
      </c>
      <c r="B3" s="325"/>
      <c r="C3" s="323"/>
      <c r="D3" s="319"/>
      <c r="E3" s="319"/>
      <c r="F3" s="330"/>
      <c r="G3" s="334"/>
      <c r="H3" s="323"/>
      <c r="I3" s="319"/>
      <c r="O3" s="310"/>
      <c r="P3" s="311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29" x14ac:dyDescent="0.25">
      <c r="A4" s="313" t="s">
        <v>244</v>
      </c>
      <c r="B4" s="326" t="s">
        <v>245</v>
      </c>
      <c r="C4" s="321"/>
      <c r="D4" s="320"/>
      <c r="E4" s="320"/>
      <c r="F4" s="331"/>
      <c r="G4" s="327"/>
      <c r="H4" s="321"/>
      <c r="I4" s="320"/>
      <c r="O4" s="310"/>
      <c r="P4" s="314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</row>
    <row r="5" spans="1:29" ht="15.75" customHeight="1" x14ac:dyDescent="0.25">
      <c r="A5" s="315" t="s">
        <v>246</v>
      </c>
      <c r="B5" s="327"/>
      <c r="C5" s="321"/>
      <c r="D5" s="320"/>
      <c r="E5" s="320"/>
      <c r="F5" s="331"/>
      <c r="G5" s="327"/>
      <c r="H5" s="321"/>
      <c r="I5" s="320"/>
      <c r="O5" s="310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</row>
    <row r="6" spans="1:29" x14ac:dyDescent="0.25">
      <c r="A6" s="315" t="s">
        <v>247</v>
      </c>
      <c r="B6" s="327"/>
      <c r="C6" s="321"/>
      <c r="D6" s="320"/>
      <c r="E6" s="320"/>
      <c r="F6" s="331"/>
      <c r="G6" s="327"/>
      <c r="H6" s="321"/>
      <c r="I6" s="320"/>
      <c r="O6" s="310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</row>
    <row r="7" spans="1:29" x14ac:dyDescent="0.25">
      <c r="A7" s="315" t="s">
        <v>248</v>
      </c>
      <c r="B7" s="327"/>
      <c r="C7" s="321"/>
      <c r="D7" s="320"/>
      <c r="E7" s="320"/>
      <c r="F7" s="331"/>
      <c r="G7" s="327"/>
      <c r="H7" s="321"/>
      <c r="I7" s="320"/>
      <c r="O7" s="310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</row>
    <row r="8" spans="1:29" x14ac:dyDescent="0.25">
      <c r="A8" s="315" t="s">
        <v>249</v>
      </c>
      <c r="B8" s="327"/>
      <c r="C8" s="321"/>
      <c r="D8" s="320"/>
      <c r="E8" s="320"/>
      <c r="F8" s="331"/>
      <c r="G8" s="327"/>
      <c r="H8" s="321"/>
      <c r="I8" s="320"/>
      <c r="O8" s="310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</row>
    <row r="9" spans="1:29" x14ac:dyDescent="0.25">
      <c r="A9" s="315" t="s">
        <v>250</v>
      </c>
      <c r="B9" s="327"/>
      <c r="C9" s="321"/>
      <c r="D9" s="320"/>
      <c r="E9" s="320"/>
      <c r="F9" s="331"/>
      <c r="G9" s="327"/>
      <c r="H9" s="321"/>
      <c r="I9" s="320"/>
      <c r="O9" s="310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</row>
    <row r="10" spans="1:29" x14ac:dyDescent="0.25">
      <c r="A10" s="315" t="s">
        <v>251</v>
      </c>
      <c r="B10" s="327"/>
      <c r="C10" s="321"/>
      <c r="D10" s="320"/>
      <c r="E10" s="320"/>
      <c r="F10" s="331"/>
      <c r="G10" s="327"/>
      <c r="H10" s="321"/>
      <c r="I10" s="320"/>
      <c r="O10" s="310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312"/>
    </row>
    <row r="11" spans="1:29" x14ac:dyDescent="0.25">
      <c r="A11" s="315" t="s">
        <v>252</v>
      </c>
      <c r="B11" s="327"/>
      <c r="C11" s="321"/>
      <c r="D11" s="320"/>
      <c r="E11" s="320"/>
      <c r="F11" s="331"/>
      <c r="G11" s="327"/>
      <c r="H11" s="321"/>
      <c r="I11" s="320"/>
      <c r="O11" s="310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</row>
    <row r="12" spans="1:29" x14ac:dyDescent="0.25">
      <c r="A12" s="315" t="s">
        <v>253</v>
      </c>
      <c r="B12" s="327"/>
      <c r="C12" s="321"/>
      <c r="D12" s="320"/>
      <c r="E12" s="320"/>
      <c r="F12" s="331"/>
      <c r="G12" s="327"/>
      <c r="H12" s="321"/>
      <c r="I12" s="320"/>
      <c r="O12" s="310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</row>
    <row r="13" spans="1:29" x14ac:dyDescent="0.25">
      <c r="A13" s="315" t="s">
        <v>254</v>
      </c>
      <c r="B13" s="327"/>
      <c r="C13" s="321"/>
      <c r="D13" s="320"/>
      <c r="E13" s="320"/>
      <c r="F13" s="331"/>
      <c r="G13" s="327"/>
      <c r="H13" s="321"/>
      <c r="I13" s="320"/>
      <c r="O13" s="310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2"/>
    </row>
    <row r="14" spans="1:29" x14ac:dyDescent="0.25">
      <c r="A14" s="315" t="s">
        <v>255</v>
      </c>
      <c r="B14" s="327"/>
      <c r="C14" s="321"/>
      <c r="D14" s="320"/>
      <c r="E14" s="320"/>
      <c r="F14" s="331"/>
      <c r="G14" s="327"/>
      <c r="H14" s="321"/>
      <c r="I14" s="320"/>
      <c r="O14" s="310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</row>
    <row r="15" spans="1:29" x14ac:dyDescent="0.25">
      <c r="A15" s="315" t="s">
        <v>256</v>
      </c>
      <c r="B15" s="327"/>
      <c r="C15" s="321"/>
      <c r="D15" s="320"/>
      <c r="E15" s="320"/>
      <c r="F15" s="331"/>
      <c r="G15" s="327"/>
      <c r="H15" s="321"/>
      <c r="I15" s="320"/>
      <c r="O15" s="310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</row>
    <row r="16" spans="1:29" x14ac:dyDescent="0.25">
      <c r="A16" s="315" t="s">
        <v>257</v>
      </c>
      <c r="B16" s="327"/>
      <c r="C16" s="321"/>
      <c r="D16" s="320"/>
      <c r="E16" s="320"/>
      <c r="F16" s="331"/>
      <c r="G16" s="327"/>
      <c r="H16" s="321"/>
      <c r="I16" s="320"/>
      <c r="O16" s="310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</row>
    <row r="17" spans="1:29" x14ac:dyDescent="0.25">
      <c r="A17" s="315" t="s">
        <v>258</v>
      </c>
      <c r="B17" s="327"/>
      <c r="C17" s="321"/>
      <c r="D17" s="320"/>
      <c r="E17" s="320"/>
      <c r="F17" s="331"/>
      <c r="G17" s="327"/>
      <c r="H17" s="321"/>
      <c r="I17" s="320"/>
      <c r="O17" s="310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</row>
    <row r="18" spans="1:29" x14ac:dyDescent="0.25">
      <c r="A18" s="315" t="s">
        <v>259</v>
      </c>
      <c r="B18" s="327"/>
      <c r="C18" s="321"/>
      <c r="D18" s="320"/>
      <c r="E18" s="320"/>
      <c r="F18" s="331"/>
      <c r="G18" s="327"/>
      <c r="H18" s="321"/>
      <c r="I18" s="320"/>
      <c r="O18" s="310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</row>
    <row r="19" spans="1:29" x14ac:dyDescent="0.25">
      <c r="A19" s="315" t="s">
        <v>260</v>
      </c>
      <c r="B19" s="327"/>
      <c r="C19" s="321"/>
      <c r="D19" s="320"/>
      <c r="E19" s="320"/>
      <c r="F19" s="331"/>
      <c r="G19" s="327"/>
      <c r="H19" s="321"/>
      <c r="I19" s="320"/>
      <c r="O19" s="310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</row>
    <row r="20" spans="1:29" x14ac:dyDescent="0.25">
      <c r="A20" s="315" t="s">
        <v>261</v>
      </c>
      <c r="B20" s="327"/>
      <c r="C20" s="321"/>
      <c r="D20" s="320"/>
      <c r="E20" s="320"/>
      <c r="F20" s="331"/>
      <c r="G20" s="327"/>
      <c r="H20" s="321"/>
      <c r="I20" s="320"/>
      <c r="O20" s="310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</row>
    <row r="21" spans="1:29" x14ac:dyDescent="0.25">
      <c r="A21" s="315" t="s">
        <v>262</v>
      </c>
      <c r="B21" s="327"/>
      <c r="C21" s="321"/>
      <c r="D21" s="320"/>
      <c r="E21" s="320"/>
      <c r="F21" s="331"/>
      <c r="G21" s="327"/>
      <c r="H21" s="321"/>
      <c r="I21" s="320"/>
      <c r="O21" s="310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</row>
    <row r="22" spans="1:29" x14ac:dyDescent="0.25">
      <c r="A22" s="315" t="s">
        <v>263</v>
      </c>
      <c r="B22" s="327"/>
      <c r="C22" s="321"/>
      <c r="D22" s="320"/>
      <c r="E22" s="320"/>
      <c r="F22" s="331"/>
      <c r="G22" s="327"/>
      <c r="H22" s="321"/>
      <c r="I22" s="320"/>
      <c r="O22" s="310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</row>
    <row r="23" spans="1:29" x14ac:dyDescent="0.25">
      <c r="A23" s="315" t="s">
        <v>264</v>
      </c>
      <c r="B23" s="327"/>
      <c r="C23" s="321"/>
      <c r="D23" s="320"/>
      <c r="E23" s="320"/>
      <c r="F23" s="331"/>
      <c r="G23" s="327"/>
      <c r="H23" s="321"/>
      <c r="I23" s="320"/>
      <c r="O23" s="310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</row>
    <row r="24" spans="1:29" x14ac:dyDescent="0.25">
      <c r="A24" s="315" t="s">
        <v>265</v>
      </c>
      <c r="B24" s="327"/>
      <c r="C24" s="321"/>
      <c r="D24" s="320"/>
      <c r="E24" s="320"/>
      <c r="F24" s="331"/>
      <c r="G24" s="327"/>
      <c r="H24" s="321"/>
      <c r="I24" s="320"/>
      <c r="O24" s="310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</row>
    <row r="25" spans="1:29" x14ac:dyDescent="0.25">
      <c r="A25" s="315" t="s">
        <v>266</v>
      </c>
      <c r="B25" s="327"/>
      <c r="C25" s="321"/>
      <c r="D25" s="320"/>
      <c r="E25" s="320"/>
      <c r="F25" s="331"/>
      <c r="G25" s="327"/>
      <c r="H25" s="321"/>
      <c r="I25" s="320"/>
      <c r="O25" s="310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</row>
    <row r="26" spans="1:29" x14ac:dyDescent="0.25">
      <c r="A26" s="315" t="s">
        <v>267</v>
      </c>
      <c r="B26" s="327"/>
      <c r="C26" s="321"/>
      <c r="D26" s="320"/>
      <c r="E26" s="320"/>
      <c r="F26" s="331"/>
      <c r="G26" s="327"/>
      <c r="H26" s="321"/>
      <c r="I26" s="320"/>
      <c r="O26" s="310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</row>
    <row r="27" spans="1:29" x14ac:dyDescent="0.25">
      <c r="A27" s="315" t="s">
        <v>268</v>
      </c>
      <c r="B27" s="327"/>
      <c r="C27" s="321"/>
      <c r="D27" s="320"/>
      <c r="E27" s="320"/>
      <c r="F27" s="331"/>
      <c r="G27" s="327"/>
      <c r="H27" s="321"/>
      <c r="I27" s="320"/>
      <c r="O27" s="310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</row>
    <row r="28" spans="1:29" x14ac:dyDescent="0.25">
      <c r="A28" s="315" t="s">
        <v>269</v>
      </c>
      <c r="B28" s="327"/>
      <c r="C28" s="321"/>
      <c r="D28" s="320"/>
      <c r="E28" s="320"/>
      <c r="F28" s="331"/>
      <c r="G28" s="327"/>
      <c r="H28" s="321"/>
      <c r="I28" s="320"/>
      <c r="O28" s="310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</row>
    <row r="29" spans="1:29" x14ac:dyDescent="0.25">
      <c r="A29" s="315" t="s">
        <v>270</v>
      </c>
      <c r="B29" s="327"/>
      <c r="C29" s="321"/>
      <c r="D29" s="320"/>
      <c r="E29" s="320"/>
      <c r="F29" s="331"/>
      <c r="G29" s="327"/>
      <c r="H29" s="321"/>
      <c r="I29" s="320"/>
      <c r="O29" s="310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</row>
    <row r="30" spans="1:29" x14ac:dyDescent="0.25">
      <c r="A30" s="315" t="s">
        <v>271</v>
      </c>
      <c r="B30" s="327"/>
      <c r="C30" s="321"/>
      <c r="D30" s="320"/>
      <c r="E30" s="320"/>
      <c r="F30" s="331"/>
      <c r="G30" s="327"/>
      <c r="H30" s="321"/>
      <c r="I30" s="320"/>
      <c r="O30" s="310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  <c r="AA30" s="312"/>
      <c r="AB30" s="312"/>
      <c r="AC30" s="312"/>
    </row>
    <row r="31" spans="1:29" x14ac:dyDescent="0.25">
      <c r="A31" s="315" t="s">
        <v>272</v>
      </c>
      <c r="B31" s="327"/>
      <c r="C31" s="321"/>
      <c r="D31" s="320"/>
      <c r="E31" s="320"/>
      <c r="F31" s="331"/>
      <c r="G31" s="327"/>
      <c r="H31" s="321"/>
      <c r="I31" s="320"/>
      <c r="O31" s="310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</row>
    <row r="32" spans="1:29" x14ac:dyDescent="0.25">
      <c r="A32" s="315" t="s">
        <v>273</v>
      </c>
      <c r="B32" s="327"/>
      <c r="C32" s="321"/>
      <c r="D32" s="320"/>
      <c r="E32" s="320"/>
      <c r="F32" s="331"/>
      <c r="G32" s="327"/>
      <c r="H32" s="321"/>
      <c r="I32" s="320"/>
      <c r="O32" s="310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</row>
    <row r="33" spans="1:29" x14ac:dyDescent="0.25">
      <c r="A33" s="315" t="s">
        <v>274</v>
      </c>
      <c r="B33" s="327"/>
      <c r="C33" s="321"/>
      <c r="D33" s="320"/>
      <c r="E33" s="320"/>
      <c r="F33" s="331"/>
      <c r="G33" s="327"/>
      <c r="H33" s="321"/>
      <c r="I33" s="320"/>
      <c r="O33" s="310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</row>
    <row r="34" spans="1:29" ht="15.75" thickBot="1" x14ac:dyDescent="0.3">
      <c r="A34" s="316" t="s">
        <v>275</v>
      </c>
      <c r="B34" s="328"/>
      <c r="C34" s="317"/>
      <c r="D34" s="251"/>
      <c r="E34" s="251"/>
      <c r="F34" s="332"/>
      <c r="G34" s="328"/>
      <c r="H34" s="317"/>
      <c r="I34" s="251"/>
      <c r="O34" s="310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</row>
    <row r="37" spans="1:29" ht="15.75" thickBot="1" x14ac:dyDescent="0.3"/>
    <row r="38" spans="1:29" ht="45.75" thickBot="1" x14ac:dyDescent="0.3">
      <c r="A38" s="303" t="s">
        <v>276</v>
      </c>
      <c r="B38" s="324" t="s">
        <v>239</v>
      </c>
      <c r="C38" s="322" t="s">
        <v>240</v>
      </c>
      <c r="D38" s="304" t="s">
        <v>241</v>
      </c>
      <c r="E38" s="304" t="s">
        <v>242</v>
      </c>
      <c r="F38" s="329" t="s">
        <v>231</v>
      </c>
      <c r="G38" s="324" t="s">
        <v>243</v>
      </c>
      <c r="H38" s="333" t="s">
        <v>240</v>
      </c>
      <c r="I38" s="305" t="s">
        <v>231</v>
      </c>
    </row>
    <row r="39" spans="1:29" x14ac:dyDescent="0.25">
      <c r="A39" s="309" t="s">
        <v>178</v>
      </c>
      <c r="B39" s="325"/>
      <c r="C39" s="323"/>
      <c r="D39" s="319"/>
      <c r="E39" s="319"/>
      <c r="F39" s="330"/>
      <c r="G39" s="334"/>
      <c r="H39" s="323"/>
      <c r="I39" s="319"/>
    </row>
    <row r="40" spans="1:29" x14ac:dyDescent="0.25">
      <c r="A40" s="313" t="s">
        <v>244</v>
      </c>
      <c r="B40" s="326" t="s">
        <v>245</v>
      </c>
      <c r="C40" s="321"/>
      <c r="D40" s="320"/>
      <c r="E40" s="320"/>
      <c r="F40" s="331"/>
      <c r="G40" s="327"/>
      <c r="H40" s="321"/>
      <c r="I40" s="320"/>
    </row>
    <row r="41" spans="1:29" x14ac:dyDescent="0.25">
      <c r="A41" s="315" t="s">
        <v>246</v>
      </c>
      <c r="B41" s="327"/>
      <c r="C41" s="321"/>
      <c r="D41" s="320"/>
      <c r="E41" s="320"/>
      <c r="F41" s="331"/>
      <c r="G41" s="327"/>
      <c r="H41" s="321"/>
      <c r="I41" s="320"/>
    </row>
    <row r="42" spans="1:29" x14ac:dyDescent="0.25">
      <c r="A42" s="315" t="s">
        <v>247</v>
      </c>
      <c r="B42" s="327"/>
      <c r="C42" s="321"/>
      <c r="D42" s="320"/>
      <c r="E42" s="320"/>
      <c r="F42" s="331"/>
      <c r="G42" s="327"/>
      <c r="H42" s="321"/>
      <c r="I42" s="320"/>
    </row>
    <row r="43" spans="1:29" x14ac:dyDescent="0.25">
      <c r="A43" s="315" t="s">
        <v>248</v>
      </c>
      <c r="B43" s="327"/>
      <c r="C43" s="321"/>
      <c r="D43" s="320"/>
      <c r="E43" s="320"/>
      <c r="F43" s="331"/>
      <c r="G43" s="327"/>
      <c r="H43" s="321"/>
      <c r="I43" s="320"/>
    </row>
    <row r="44" spans="1:29" x14ac:dyDescent="0.25">
      <c r="A44" s="315" t="s">
        <v>249</v>
      </c>
      <c r="B44" s="327"/>
      <c r="C44" s="321"/>
      <c r="D44" s="320"/>
      <c r="E44" s="320"/>
      <c r="F44" s="331"/>
      <c r="G44" s="327"/>
      <c r="H44" s="321"/>
      <c r="I44" s="320"/>
    </row>
    <row r="45" spans="1:29" x14ac:dyDescent="0.25">
      <c r="A45" s="315" t="s">
        <v>250</v>
      </c>
      <c r="B45" s="327"/>
      <c r="C45" s="321"/>
      <c r="D45" s="320"/>
      <c r="E45" s="320"/>
      <c r="F45" s="331"/>
      <c r="G45" s="327"/>
      <c r="H45" s="321"/>
      <c r="I45" s="320"/>
    </row>
    <row r="46" spans="1:29" x14ac:dyDescent="0.25">
      <c r="A46" s="315" t="s">
        <v>251</v>
      </c>
      <c r="B46" s="327"/>
      <c r="C46" s="321"/>
      <c r="D46" s="320"/>
      <c r="E46" s="320"/>
      <c r="F46" s="331"/>
      <c r="G46" s="327"/>
      <c r="H46" s="321"/>
      <c r="I46" s="320"/>
    </row>
    <row r="47" spans="1:29" x14ac:dyDescent="0.25">
      <c r="A47" s="315" t="s">
        <v>252</v>
      </c>
      <c r="B47" s="327"/>
      <c r="C47" s="321"/>
      <c r="D47" s="320"/>
      <c r="E47" s="320"/>
      <c r="F47" s="331"/>
      <c r="G47" s="327"/>
      <c r="H47" s="321"/>
      <c r="I47" s="320"/>
    </row>
    <row r="48" spans="1:29" x14ac:dyDescent="0.25">
      <c r="A48" s="315" t="s">
        <v>253</v>
      </c>
      <c r="B48" s="327"/>
      <c r="C48" s="321"/>
      <c r="D48" s="320"/>
      <c r="E48" s="320"/>
      <c r="F48" s="331"/>
      <c r="G48" s="327"/>
      <c r="H48" s="321"/>
      <c r="I48" s="320"/>
    </row>
    <row r="49" spans="1:9" x14ac:dyDescent="0.25">
      <c r="A49" s="315" t="s">
        <v>254</v>
      </c>
      <c r="B49" s="327"/>
      <c r="C49" s="321"/>
      <c r="D49" s="320"/>
      <c r="E49" s="320"/>
      <c r="F49" s="331"/>
      <c r="G49" s="327"/>
      <c r="H49" s="321"/>
      <c r="I49" s="320"/>
    </row>
    <row r="50" spans="1:9" x14ac:dyDescent="0.25">
      <c r="A50" s="315" t="s">
        <v>255</v>
      </c>
      <c r="B50" s="327"/>
      <c r="C50" s="321"/>
      <c r="D50" s="320"/>
      <c r="E50" s="320"/>
      <c r="F50" s="331"/>
      <c r="G50" s="327"/>
      <c r="H50" s="321"/>
      <c r="I50" s="320"/>
    </row>
    <row r="51" spans="1:9" x14ac:dyDescent="0.25">
      <c r="A51" s="315" t="s">
        <v>256</v>
      </c>
      <c r="B51" s="327"/>
      <c r="C51" s="321"/>
      <c r="D51" s="320"/>
      <c r="E51" s="320"/>
      <c r="F51" s="331"/>
      <c r="G51" s="327"/>
      <c r="H51" s="321"/>
      <c r="I51" s="320"/>
    </row>
    <row r="52" spans="1:9" x14ac:dyDescent="0.25">
      <c r="A52" s="315" t="s">
        <v>257</v>
      </c>
      <c r="B52" s="327"/>
      <c r="C52" s="321"/>
      <c r="D52" s="320"/>
      <c r="E52" s="320"/>
      <c r="F52" s="331"/>
      <c r="G52" s="327"/>
      <c r="H52" s="321"/>
      <c r="I52" s="320"/>
    </row>
    <row r="53" spans="1:9" x14ac:dyDescent="0.25">
      <c r="A53" s="315" t="s">
        <v>258</v>
      </c>
      <c r="B53" s="327"/>
      <c r="C53" s="321"/>
      <c r="D53" s="320"/>
      <c r="E53" s="320"/>
      <c r="F53" s="331"/>
      <c r="G53" s="327"/>
      <c r="H53" s="321"/>
      <c r="I53" s="320"/>
    </row>
    <row r="54" spans="1:9" x14ac:dyDescent="0.25">
      <c r="A54" s="315" t="s">
        <v>259</v>
      </c>
      <c r="B54" s="327"/>
      <c r="C54" s="321"/>
      <c r="D54" s="320"/>
      <c r="E54" s="320"/>
      <c r="F54" s="331"/>
      <c r="G54" s="327"/>
      <c r="H54" s="321"/>
      <c r="I54" s="320"/>
    </row>
    <row r="55" spans="1:9" x14ac:dyDescent="0.25">
      <c r="A55" s="315" t="s">
        <v>260</v>
      </c>
      <c r="B55" s="327"/>
      <c r="C55" s="321"/>
      <c r="D55" s="320"/>
      <c r="E55" s="320"/>
      <c r="F55" s="331"/>
      <c r="G55" s="327"/>
      <c r="H55" s="321"/>
      <c r="I55" s="320"/>
    </row>
    <row r="56" spans="1:9" x14ac:dyDescent="0.25">
      <c r="A56" s="315" t="s">
        <v>261</v>
      </c>
      <c r="B56" s="327"/>
      <c r="C56" s="321"/>
      <c r="D56" s="320"/>
      <c r="E56" s="320"/>
      <c r="F56" s="331"/>
      <c r="G56" s="327"/>
      <c r="H56" s="321"/>
      <c r="I56" s="320"/>
    </row>
    <row r="57" spans="1:9" x14ac:dyDescent="0.25">
      <c r="A57" s="315" t="s">
        <v>262</v>
      </c>
      <c r="B57" s="327"/>
      <c r="C57" s="321"/>
      <c r="D57" s="320"/>
      <c r="E57" s="320"/>
      <c r="F57" s="331"/>
      <c r="G57" s="327"/>
      <c r="H57" s="321"/>
      <c r="I57" s="320"/>
    </row>
    <row r="58" spans="1:9" x14ac:dyDescent="0.25">
      <c r="A58" s="315" t="s">
        <v>263</v>
      </c>
      <c r="B58" s="327"/>
      <c r="C58" s="321"/>
      <c r="D58" s="320"/>
      <c r="E58" s="320"/>
      <c r="F58" s="331"/>
      <c r="G58" s="327"/>
      <c r="H58" s="321"/>
      <c r="I58" s="320"/>
    </row>
    <row r="59" spans="1:9" x14ac:dyDescent="0.25">
      <c r="A59" s="315" t="s">
        <v>264</v>
      </c>
      <c r="B59" s="327"/>
      <c r="C59" s="321"/>
      <c r="D59" s="320"/>
      <c r="E59" s="320"/>
      <c r="F59" s="331"/>
      <c r="G59" s="327"/>
      <c r="H59" s="321"/>
      <c r="I59" s="320"/>
    </row>
    <row r="60" spans="1:9" x14ac:dyDescent="0.25">
      <c r="A60" s="315" t="s">
        <v>265</v>
      </c>
      <c r="B60" s="327"/>
      <c r="C60" s="321"/>
      <c r="D60" s="320"/>
      <c r="E60" s="320"/>
      <c r="F60" s="331"/>
      <c r="G60" s="327"/>
      <c r="H60" s="321"/>
      <c r="I60" s="320"/>
    </row>
    <row r="61" spans="1:9" x14ac:dyDescent="0.25">
      <c r="A61" s="315" t="s">
        <v>266</v>
      </c>
      <c r="B61" s="327"/>
      <c r="C61" s="321"/>
      <c r="D61" s="320"/>
      <c r="E61" s="320"/>
      <c r="F61" s="331"/>
      <c r="G61" s="327"/>
      <c r="H61" s="321"/>
      <c r="I61" s="320"/>
    </row>
    <row r="62" spans="1:9" x14ac:dyDescent="0.25">
      <c r="A62" s="315" t="s">
        <v>267</v>
      </c>
      <c r="B62" s="327"/>
      <c r="C62" s="321"/>
      <c r="D62" s="320"/>
      <c r="E62" s="320"/>
      <c r="F62" s="331"/>
      <c r="G62" s="327"/>
      <c r="H62" s="321"/>
      <c r="I62" s="320"/>
    </row>
    <row r="63" spans="1:9" x14ac:dyDescent="0.25">
      <c r="A63" s="315" t="s">
        <v>268</v>
      </c>
      <c r="B63" s="327"/>
      <c r="C63" s="321"/>
      <c r="D63" s="320"/>
      <c r="E63" s="320"/>
      <c r="F63" s="331"/>
      <c r="G63" s="327"/>
      <c r="H63" s="321"/>
      <c r="I63" s="320"/>
    </row>
    <row r="64" spans="1:9" x14ac:dyDescent="0.25">
      <c r="A64" s="315" t="s">
        <v>269</v>
      </c>
      <c r="B64" s="327"/>
      <c r="C64" s="321"/>
      <c r="D64" s="320"/>
      <c r="E64" s="320"/>
      <c r="F64" s="331"/>
      <c r="G64" s="327"/>
      <c r="H64" s="321"/>
      <c r="I64" s="320"/>
    </row>
    <row r="65" spans="1:9" x14ac:dyDescent="0.25">
      <c r="A65" s="315" t="s">
        <v>270</v>
      </c>
      <c r="B65" s="327"/>
      <c r="C65" s="321"/>
      <c r="D65" s="320"/>
      <c r="E65" s="320"/>
      <c r="F65" s="331"/>
      <c r="G65" s="327"/>
      <c r="H65" s="321"/>
      <c r="I65" s="320"/>
    </row>
    <row r="66" spans="1:9" x14ac:dyDescent="0.25">
      <c r="A66" s="315" t="s">
        <v>271</v>
      </c>
      <c r="B66" s="327"/>
      <c r="C66" s="321"/>
      <c r="D66" s="320"/>
      <c r="E66" s="320"/>
      <c r="F66" s="331"/>
      <c r="G66" s="327"/>
      <c r="H66" s="321"/>
      <c r="I66" s="320"/>
    </row>
    <row r="67" spans="1:9" x14ac:dyDescent="0.25">
      <c r="A67" s="315" t="s">
        <v>272</v>
      </c>
      <c r="B67" s="327"/>
      <c r="C67" s="321"/>
      <c r="D67" s="320"/>
      <c r="E67" s="320"/>
      <c r="F67" s="331"/>
      <c r="G67" s="327"/>
      <c r="H67" s="321"/>
      <c r="I67" s="320"/>
    </row>
    <row r="68" spans="1:9" x14ac:dyDescent="0.25">
      <c r="A68" s="315" t="s">
        <v>273</v>
      </c>
      <c r="B68" s="327"/>
      <c r="C68" s="321"/>
      <c r="D68" s="320"/>
      <c r="E68" s="320"/>
      <c r="F68" s="331"/>
      <c r="G68" s="327"/>
      <c r="H68" s="321"/>
      <c r="I68" s="320"/>
    </row>
    <row r="69" spans="1:9" x14ac:dyDescent="0.25">
      <c r="A69" s="315" t="s">
        <v>274</v>
      </c>
      <c r="B69" s="327"/>
      <c r="C69" s="321"/>
      <c r="D69" s="320"/>
      <c r="E69" s="320"/>
      <c r="F69" s="331"/>
      <c r="G69" s="327"/>
      <c r="H69" s="321"/>
      <c r="I69" s="320"/>
    </row>
    <row r="70" spans="1:9" ht="15.75" thickBot="1" x14ac:dyDescent="0.3">
      <c r="A70" s="316" t="s">
        <v>275</v>
      </c>
      <c r="B70" s="328"/>
      <c r="C70" s="317"/>
      <c r="D70" s="251"/>
      <c r="E70" s="251"/>
      <c r="F70" s="332"/>
      <c r="G70" s="328"/>
      <c r="H70" s="317"/>
      <c r="I70" s="251"/>
    </row>
  </sheetData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view="pageBreakPreview" zoomScale="60" zoomScaleNormal="100" workbookViewId="0">
      <selection activeCell="C9" sqref="C9"/>
    </sheetView>
  </sheetViews>
  <sheetFormatPr defaultColWidth="8.85546875" defaultRowHeight="15" x14ac:dyDescent="0.25"/>
  <cols>
    <col min="1" max="1" width="25.42578125" customWidth="1"/>
    <col min="2" max="2" width="79" bestFit="1" customWidth="1"/>
    <col min="3" max="3" width="70" bestFit="1" customWidth="1"/>
  </cols>
  <sheetData>
    <row r="1" spans="1:3" ht="19.5" thickBot="1" x14ac:dyDescent="0.35">
      <c r="A1" s="336" t="s">
        <v>278</v>
      </c>
    </row>
    <row r="2" spans="1:3" ht="15.75" thickBot="1" x14ac:dyDescent="0.3">
      <c r="A2" s="344" t="s">
        <v>300</v>
      </c>
      <c r="B2" s="345" t="s">
        <v>301</v>
      </c>
      <c r="C2" s="346" t="s">
        <v>306</v>
      </c>
    </row>
    <row r="3" spans="1:3" x14ac:dyDescent="0.25">
      <c r="A3" s="360" t="s">
        <v>279</v>
      </c>
      <c r="B3" s="347" t="s">
        <v>303</v>
      </c>
      <c r="C3" s="253" t="s">
        <v>302</v>
      </c>
    </row>
    <row r="4" spans="1:3" x14ac:dyDescent="0.25">
      <c r="A4" s="361" t="s">
        <v>280</v>
      </c>
      <c r="B4" s="348" t="s">
        <v>304</v>
      </c>
      <c r="C4" s="349" t="s">
        <v>305</v>
      </c>
    </row>
    <row r="5" spans="1:3" x14ac:dyDescent="0.25">
      <c r="A5" s="361" t="s">
        <v>281</v>
      </c>
      <c r="B5" s="348" t="s">
        <v>307</v>
      </c>
      <c r="C5" s="349" t="s">
        <v>305</v>
      </c>
    </row>
    <row r="6" spans="1:3" x14ac:dyDescent="0.25">
      <c r="A6" s="361" t="s">
        <v>223</v>
      </c>
      <c r="B6" s="348" t="s">
        <v>308</v>
      </c>
      <c r="C6" s="251" t="s">
        <v>310</v>
      </c>
    </row>
    <row r="7" spans="1:3" x14ac:dyDescent="0.25">
      <c r="A7" s="361" t="s">
        <v>282</v>
      </c>
      <c r="B7" s="348" t="s">
        <v>309</v>
      </c>
      <c r="C7" s="349" t="s">
        <v>305</v>
      </c>
    </row>
    <row r="8" spans="1:3" x14ac:dyDescent="0.25">
      <c r="A8" s="361" t="s">
        <v>283</v>
      </c>
      <c r="B8" s="348" t="s">
        <v>311</v>
      </c>
      <c r="C8" s="251" t="s">
        <v>312</v>
      </c>
    </row>
    <row r="9" spans="1:3" x14ac:dyDescent="0.25">
      <c r="A9" s="361" t="s">
        <v>284</v>
      </c>
      <c r="B9" s="348" t="s">
        <v>313</v>
      </c>
      <c r="C9" s="349" t="s">
        <v>305</v>
      </c>
    </row>
    <row r="10" spans="1:3" x14ac:dyDescent="0.25">
      <c r="A10" s="361" t="s">
        <v>285</v>
      </c>
      <c r="B10" s="348" t="s">
        <v>314</v>
      </c>
      <c r="C10" s="251" t="s">
        <v>312</v>
      </c>
    </row>
    <row r="11" spans="1:3" x14ac:dyDescent="0.25">
      <c r="A11" s="361" t="s">
        <v>286</v>
      </c>
      <c r="B11" s="348" t="s">
        <v>315</v>
      </c>
      <c r="C11" s="251" t="s">
        <v>312</v>
      </c>
    </row>
    <row r="12" spans="1:3" x14ac:dyDescent="0.25">
      <c r="A12" s="361" t="s">
        <v>287</v>
      </c>
      <c r="B12" s="348" t="s">
        <v>316</v>
      </c>
      <c r="C12" s="251" t="s">
        <v>312</v>
      </c>
    </row>
    <row r="13" spans="1:3" x14ac:dyDescent="0.25">
      <c r="A13" s="361" t="s">
        <v>288</v>
      </c>
      <c r="B13" s="348" t="s">
        <v>317</v>
      </c>
      <c r="C13" s="251" t="s">
        <v>312</v>
      </c>
    </row>
    <row r="14" spans="1:3" x14ac:dyDescent="0.25">
      <c r="A14" s="361" t="s">
        <v>289</v>
      </c>
      <c r="B14" s="348" t="s">
        <v>353</v>
      </c>
      <c r="C14" s="251" t="s">
        <v>318</v>
      </c>
    </row>
    <row r="15" spans="1:3" x14ac:dyDescent="0.25">
      <c r="A15" s="361" t="s">
        <v>352</v>
      </c>
      <c r="B15" s="348" t="s">
        <v>354</v>
      </c>
      <c r="C15" s="251" t="s">
        <v>312</v>
      </c>
    </row>
    <row r="16" spans="1:3" x14ac:dyDescent="0.25">
      <c r="A16" s="361" t="s">
        <v>294</v>
      </c>
      <c r="B16" s="348" t="s">
        <v>319</v>
      </c>
      <c r="C16" s="251" t="s">
        <v>320</v>
      </c>
    </row>
    <row r="17" spans="1:3" x14ac:dyDescent="0.25">
      <c r="A17" s="361" t="s">
        <v>295</v>
      </c>
      <c r="B17" s="348" t="s">
        <v>321</v>
      </c>
      <c r="C17" s="251" t="s">
        <v>322</v>
      </c>
    </row>
    <row r="18" spans="1:3" ht="30" x14ac:dyDescent="0.25">
      <c r="A18" s="361" t="s">
        <v>296</v>
      </c>
      <c r="B18" s="359" t="s">
        <v>323</v>
      </c>
      <c r="C18" s="362" t="s">
        <v>324</v>
      </c>
    </row>
    <row r="19" spans="1:3" x14ac:dyDescent="0.25">
      <c r="A19" s="361" t="s">
        <v>297</v>
      </c>
      <c r="B19" s="348" t="s">
        <v>325</v>
      </c>
      <c r="C19" s="251" t="s">
        <v>326</v>
      </c>
    </row>
    <row r="20" spans="1:3" x14ac:dyDescent="0.25">
      <c r="A20" s="361" t="s">
        <v>298</v>
      </c>
      <c r="B20" s="348" t="s">
        <v>327</v>
      </c>
      <c r="C20" s="251" t="s">
        <v>329</v>
      </c>
    </row>
    <row r="21" spans="1:3" x14ac:dyDescent="0.25">
      <c r="A21" s="361" t="s">
        <v>299</v>
      </c>
      <c r="B21" s="348" t="s">
        <v>328</v>
      </c>
      <c r="C21" s="251" t="s">
        <v>329</v>
      </c>
    </row>
  </sheetData>
  <sheetProtection password="C3D8" sheet="1" objects="1" scenarios="1"/>
  <hyperlinks>
    <hyperlink ref="A3" location="Sumarizácia!R1C1" display="Sumarizácia" xr:uid="{00000000-0004-0000-0100-000000000000}"/>
    <hyperlink ref="A4" location="'CBA - Agendové IS'!R1C1" display="CBA" xr:uid="{00000000-0004-0000-0100-000001000000}"/>
    <hyperlink ref="A5" location="'Analyza citlivosti - AgendovéIS'!R1C1" display="Analyza citlivosti" xr:uid="{00000000-0004-0000-0100-000002000000}"/>
    <hyperlink ref="A6" location="'Prínosy - Agendové IS'!R1C1" display="Prínosy" xr:uid="{00000000-0004-0000-0100-000003000000}"/>
    <hyperlink ref="A7" location="'Výdavky - Agendové IS'!R1C1" display="Výdavky" xr:uid="{00000000-0004-0000-0100-000004000000}"/>
    <hyperlink ref="A8" location="'Parametre - Agendové IS'!R1C1" display="Parametre" xr:uid="{00000000-0004-0000-0100-000005000000}"/>
    <hyperlink ref="A9" location="TCO!R1C1" display="TCO" xr:uid="{00000000-0004-0000-0100-000006000000}"/>
    <hyperlink ref="A10" location="'TCO Alt. 1 - SW'!R1C1" display="TCO Alt. 1 - SW" xr:uid="{00000000-0004-0000-0100-000007000000}"/>
    <hyperlink ref="A11" location="'TCO Alt. 1 - HW'!R1C1" display="TCO Alt. 1 - HW" xr:uid="{00000000-0004-0000-0100-000008000000}"/>
    <hyperlink ref="A12" location="'TCO Alt. 2 - SW'!R1C1" display="TCO Alt. 2 - SW" xr:uid="{00000000-0004-0000-0100-000009000000}"/>
    <hyperlink ref="A13" location="'TCO Alt. 2 - HW'!R1C1" display="TCO Alt. 2 - HW" xr:uid="{00000000-0004-0000-0100-00000A000000}"/>
    <hyperlink ref="A14" location="'Rozpočet - vývoj Aplikácií'!R1C1" display="Rozpočet - vývoj aplikácii" xr:uid="{00000000-0004-0000-0100-00000B000000}"/>
    <hyperlink ref="A16" location="'Slepý rozpočet'!R1C1" display="Slepý rozpočet" xr:uid="{00000000-0004-0000-0100-00000C000000}"/>
    <hyperlink ref="A17" location="Faktory!R1C1" display="Faktory" xr:uid="{00000000-0004-0000-0100-00000D000000}"/>
    <hyperlink ref="A18" location="'Meranie prínosov'!R1C1" display="Meranie prínosov" xr:uid="{00000000-0004-0000-0100-00000E000000}"/>
    <hyperlink ref="A19" location="'Procesné mapy'!R1C1" display="Procesné mapy" xr:uid="{00000000-0004-0000-0100-00000F000000}"/>
    <hyperlink ref="A20" location="'Procesy - AS IS'!R1C1" display="Procesy AS IS" xr:uid="{00000000-0004-0000-0100-000010000000}"/>
    <hyperlink ref="A21" location="'Procesy - TO BE'!R1C1" display="Procesy TO BE" xr:uid="{00000000-0004-0000-0100-000011000000}"/>
    <hyperlink ref="A15" location="'Rozpočet - HW a licencie'!R1C1" display="Rozpočet - HW a licencie" xr:uid="{00000000-0004-0000-0100-000012000000}"/>
  </hyperlink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CC"/>
  </sheetPr>
  <dimension ref="A1:AC70"/>
  <sheetViews>
    <sheetView view="pageBreakPreview" topLeftCell="A52" zoomScale="60" zoomScaleNormal="100" workbookViewId="0">
      <selection activeCell="Q35" sqref="Q35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300" customWidth="1"/>
    <col min="4" max="4" width="14.140625" style="300" customWidth="1"/>
    <col min="5" max="5" width="14.85546875" style="300" customWidth="1"/>
    <col min="6" max="6" width="11.85546875" style="300" customWidth="1"/>
    <col min="7" max="7" width="15.85546875" style="300" customWidth="1"/>
    <col min="8" max="8" width="13.42578125" style="300" customWidth="1"/>
    <col min="9" max="28" width="8.42578125" style="300" customWidth="1"/>
  </cols>
  <sheetData>
    <row r="1" spans="1:29" ht="15.75" thickBot="1" x14ac:dyDescent="0.3"/>
    <row r="2" spans="1:29" ht="48.75" customHeight="1" thickBot="1" x14ac:dyDescent="0.3">
      <c r="A2" s="303" t="s">
        <v>238</v>
      </c>
      <c r="B2" s="324" t="s">
        <v>239</v>
      </c>
      <c r="C2" s="322" t="s">
        <v>240</v>
      </c>
      <c r="D2" s="304" t="s">
        <v>241</v>
      </c>
      <c r="E2" s="304" t="s">
        <v>242</v>
      </c>
      <c r="F2" s="329" t="s">
        <v>231</v>
      </c>
      <c r="G2" s="324" t="s">
        <v>243</v>
      </c>
      <c r="H2" s="333" t="s">
        <v>240</v>
      </c>
      <c r="I2" s="305" t="s">
        <v>231</v>
      </c>
      <c r="O2" s="306"/>
      <c r="P2" s="307"/>
      <c r="Q2" s="307"/>
      <c r="R2" s="308"/>
      <c r="S2" s="308"/>
      <c r="T2" s="308"/>
      <c r="U2" s="308"/>
      <c r="V2" s="308"/>
      <c r="W2" s="308"/>
      <c r="X2" s="308"/>
      <c r="Y2" s="307"/>
      <c r="Z2" s="307"/>
      <c r="AA2" s="308"/>
      <c r="AB2" s="308"/>
      <c r="AC2" s="308"/>
    </row>
    <row r="3" spans="1:29" x14ac:dyDescent="0.25">
      <c r="A3" s="309" t="s">
        <v>178</v>
      </c>
      <c r="B3" s="325"/>
      <c r="C3" s="323"/>
      <c r="D3" s="319"/>
      <c r="E3" s="319"/>
      <c r="F3" s="330"/>
      <c r="G3" s="334"/>
      <c r="H3" s="323"/>
      <c r="I3" s="319"/>
      <c r="O3" s="310"/>
      <c r="P3" s="311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29" x14ac:dyDescent="0.25">
      <c r="A4" s="313" t="s">
        <v>244</v>
      </c>
      <c r="B4" s="326" t="s">
        <v>245</v>
      </c>
      <c r="C4" s="321"/>
      <c r="D4" s="320"/>
      <c r="E4" s="320"/>
      <c r="F4" s="331"/>
      <c r="G4" s="327"/>
      <c r="H4" s="321"/>
      <c r="I4" s="320"/>
      <c r="O4" s="310"/>
      <c r="P4" s="314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</row>
    <row r="5" spans="1:29" ht="15.75" customHeight="1" x14ac:dyDescent="0.25">
      <c r="A5" s="315" t="s">
        <v>246</v>
      </c>
      <c r="B5" s="327"/>
      <c r="C5" s="321"/>
      <c r="D5" s="320"/>
      <c r="E5" s="320"/>
      <c r="F5" s="331"/>
      <c r="G5" s="327"/>
      <c r="H5" s="321"/>
      <c r="I5" s="320"/>
      <c r="O5" s="310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</row>
    <row r="6" spans="1:29" x14ac:dyDescent="0.25">
      <c r="A6" s="315" t="s">
        <v>247</v>
      </c>
      <c r="B6" s="327"/>
      <c r="C6" s="321"/>
      <c r="D6" s="320"/>
      <c r="E6" s="320"/>
      <c r="F6" s="331"/>
      <c r="G6" s="327"/>
      <c r="H6" s="321"/>
      <c r="I6" s="320"/>
      <c r="O6" s="310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</row>
    <row r="7" spans="1:29" x14ac:dyDescent="0.25">
      <c r="A7" s="315" t="s">
        <v>248</v>
      </c>
      <c r="B7" s="327"/>
      <c r="C7" s="321"/>
      <c r="D7" s="320"/>
      <c r="E7" s="320"/>
      <c r="F7" s="331"/>
      <c r="G7" s="327"/>
      <c r="H7" s="321"/>
      <c r="I7" s="320"/>
      <c r="O7" s="310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</row>
    <row r="8" spans="1:29" x14ac:dyDescent="0.25">
      <c r="A8" s="315" t="s">
        <v>249</v>
      </c>
      <c r="B8" s="327"/>
      <c r="C8" s="321"/>
      <c r="D8" s="320"/>
      <c r="E8" s="320"/>
      <c r="F8" s="331"/>
      <c r="G8" s="327"/>
      <c r="H8" s="321"/>
      <c r="I8" s="320"/>
      <c r="O8" s="310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</row>
    <row r="9" spans="1:29" x14ac:dyDescent="0.25">
      <c r="A9" s="315" t="s">
        <v>250</v>
      </c>
      <c r="B9" s="327"/>
      <c r="C9" s="321"/>
      <c r="D9" s="320"/>
      <c r="E9" s="320"/>
      <c r="F9" s="331"/>
      <c r="G9" s="327"/>
      <c r="H9" s="321"/>
      <c r="I9" s="320"/>
      <c r="O9" s="310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</row>
    <row r="10" spans="1:29" x14ac:dyDescent="0.25">
      <c r="A10" s="315" t="s">
        <v>251</v>
      </c>
      <c r="B10" s="327"/>
      <c r="C10" s="321"/>
      <c r="D10" s="320"/>
      <c r="E10" s="320"/>
      <c r="F10" s="331"/>
      <c r="G10" s="327"/>
      <c r="H10" s="321"/>
      <c r="I10" s="320"/>
      <c r="O10" s="310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312"/>
    </row>
    <row r="11" spans="1:29" x14ac:dyDescent="0.25">
      <c r="A11" s="315" t="s">
        <v>252</v>
      </c>
      <c r="B11" s="327"/>
      <c r="C11" s="321"/>
      <c r="D11" s="320"/>
      <c r="E11" s="320"/>
      <c r="F11" s="331"/>
      <c r="G11" s="327"/>
      <c r="H11" s="321"/>
      <c r="I11" s="320"/>
      <c r="O11" s="310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</row>
    <row r="12" spans="1:29" x14ac:dyDescent="0.25">
      <c r="A12" s="315" t="s">
        <v>253</v>
      </c>
      <c r="B12" s="327"/>
      <c r="C12" s="321"/>
      <c r="D12" s="320"/>
      <c r="E12" s="320"/>
      <c r="F12" s="331"/>
      <c r="G12" s="327"/>
      <c r="H12" s="321"/>
      <c r="I12" s="320"/>
      <c r="O12" s="310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</row>
    <row r="13" spans="1:29" x14ac:dyDescent="0.25">
      <c r="A13" s="315" t="s">
        <v>254</v>
      </c>
      <c r="B13" s="327"/>
      <c r="C13" s="321"/>
      <c r="D13" s="320"/>
      <c r="E13" s="320"/>
      <c r="F13" s="331"/>
      <c r="G13" s="327"/>
      <c r="H13" s="321"/>
      <c r="I13" s="320"/>
      <c r="O13" s="310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2"/>
    </row>
    <row r="14" spans="1:29" x14ac:dyDescent="0.25">
      <c r="A14" s="315" t="s">
        <v>255</v>
      </c>
      <c r="B14" s="327"/>
      <c r="C14" s="321"/>
      <c r="D14" s="320"/>
      <c r="E14" s="320"/>
      <c r="F14" s="331"/>
      <c r="G14" s="327"/>
      <c r="H14" s="321"/>
      <c r="I14" s="320"/>
      <c r="O14" s="310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</row>
    <row r="15" spans="1:29" x14ac:dyDescent="0.25">
      <c r="A15" s="315" t="s">
        <v>256</v>
      </c>
      <c r="B15" s="327"/>
      <c r="C15" s="321"/>
      <c r="D15" s="320"/>
      <c r="E15" s="320"/>
      <c r="F15" s="331"/>
      <c r="G15" s="327"/>
      <c r="H15" s="321"/>
      <c r="I15" s="320"/>
      <c r="O15" s="310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</row>
    <row r="16" spans="1:29" x14ac:dyDescent="0.25">
      <c r="A16" s="315" t="s">
        <v>257</v>
      </c>
      <c r="B16" s="327"/>
      <c r="C16" s="321"/>
      <c r="D16" s="320"/>
      <c r="E16" s="320"/>
      <c r="F16" s="331"/>
      <c r="G16" s="327"/>
      <c r="H16" s="321"/>
      <c r="I16" s="320"/>
      <c r="O16" s="310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</row>
    <row r="17" spans="1:29" x14ac:dyDescent="0.25">
      <c r="A17" s="315" t="s">
        <v>258</v>
      </c>
      <c r="B17" s="327"/>
      <c r="C17" s="321"/>
      <c r="D17" s="320"/>
      <c r="E17" s="320"/>
      <c r="F17" s="331"/>
      <c r="G17" s="327"/>
      <c r="H17" s="321"/>
      <c r="I17" s="320"/>
      <c r="O17" s="310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</row>
    <row r="18" spans="1:29" x14ac:dyDescent="0.25">
      <c r="A18" s="315" t="s">
        <v>259</v>
      </c>
      <c r="B18" s="327"/>
      <c r="C18" s="321"/>
      <c r="D18" s="320"/>
      <c r="E18" s="320"/>
      <c r="F18" s="331"/>
      <c r="G18" s="327"/>
      <c r="H18" s="321"/>
      <c r="I18" s="320"/>
      <c r="O18" s="310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</row>
    <row r="19" spans="1:29" x14ac:dyDescent="0.25">
      <c r="A19" s="315" t="s">
        <v>260</v>
      </c>
      <c r="B19" s="327"/>
      <c r="C19" s="321"/>
      <c r="D19" s="320"/>
      <c r="E19" s="320"/>
      <c r="F19" s="331"/>
      <c r="G19" s="327"/>
      <c r="H19" s="321"/>
      <c r="I19" s="320"/>
      <c r="O19" s="310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</row>
    <row r="20" spans="1:29" x14ac:dyDescent="0.25">
      <c r="A20" s="315" t="s">
        <v>261</v>
      </c>
      <c r="B20" s="327"/>
      <c r="C20" s="321"/>
      <c r="D20" s="320"/>
      <c r="E20" s="320"/>
      <c r="F20" s="331"/>
      <c r="G20" s="327"/>
      <c r="H20" s="321"/>
      <c r="I20" s="320"/>
      <c r="O20" s="310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</row>
    <row r="21" spans="1:29" x14ac:dyDescent="0.25">
      <c r="A21" s="315" t="s">
        <v>262</v>
      </c>
      <c r="B21" s="327"/>
      <c r="C21" s="321"/>
      <c r="D21" s="320"/>
      <c r="E21" s="320"/>
      <c r="F21" s="331"/>
      <c r="G21" s="327"/>
      <c r="H21" s="321"/>
      <c r="I21" s="320"/>
      <c r="O21" s="310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</row>
    <row r="22" spans="1:29" x14ac:dyDescent="0.25">
      <c r="A22" s="315" t="s">
        <v>263</v>
      </c>
      <c r="B22" s="327"/>
      <c r="C22" s="321"/>
      <c r="D22" s="320"/>
      <c r="E22" s="320"/>
      <c r="F22" s="331"/>
      <c r="G22" s="327"/>
      <c r="H22" s="321"/>
      <c r="I22" s="320"/>
      <c r="O22" s="310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</row>
    <row r="23" spans="1:29" x14ac:dyDescent="0.25">
      <c r="A23" s="315" t="s">
        <v>264</v>
      </c>
      <c r="B23" s="327"/>
      <c r="C23" s="321"/>
      <c r="D23" s="320"/>
      <c r="E23" s="320"/>
      <c r="F23" s="331"/>
      <c r="G23" s="327"/>
      <c r="H23" s="321"/>
      <c r="I23" s="320"/>
      <c r="O23" s="310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</row>
    <row r="24" spans="1:29" x14ac:dyDescent="0.25">
      <c r="A24" s="315" t="s">
        <v>265</v>
      </c>
      <c r="B24" s="327"/>
      <c r="C24" s="321"/>
      <c r="D24" s="320"/>
      <c r="E24" s="320"/>
      <c r="F24" s="331"/>
      <c r="G24" s="327"/>
      <c r="H24" s="321"/>
      <c r="I24" s="320"/>
      <c r="O24" s="310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</row>
    <row r="25" spans="1:29" x14ac:dyDescent="0.25">
      <c r="A25" s="315" t="s">
        <v>266</v>
      </c>
      <c r="B25" s="327"/>
      <c r="C25" s="321"/>
      <c r="D25" s="320"/>
      <c r="E25" s="320"/>
      <c r="F25" s="331"/>
      <c r="G25" s="327"/>
      <c r="H25" s="321"/>
      <c r="I25" s="320"/>
      <c r="O25" s="310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</row>
    <row r="26" spans="1:29" x14ac:dyDescent="0.25">
      <c r="A26" s="315" t="s">
        <v>267</v>
      </c>
      <c r="B26" s="327"/>
      <c r="C26" s="321"/>
      <c r="D26" s="320"/>
      <c r="E26" s="320"/>
      <c r="F26" s="331"/>
      <c r="G26" s="327"/>
      <c r="H26" s="321"/>
      <c r="I26" s="320"/>
      <c r="O26" s="310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</row>
    <row r="27" spans="1:29" x14ac:dyDescent="0.25">
      <c r="A27" s="315" t="s">
        <v>268</v>
      </c>
      <c r="B27" s="327"/>
      <c r="C27" s="321"/>
      <c r="D27" s="320"/>
      <c r="E27" s="320"/>
      <c r="F27" s="331"/>
      <c r="G27" s="327"/>
      <c r="H27" s="321"/>
      <c r="I27" s="320"/>
      <c r="O27" s="310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</row>
    <row r="28" spans="1:29" x14ac:dyDescent="0.25">
      <c r="A28" s="315" t="s">
        <v>269</v>
      </c>
      <c r="B28" s="327"/>
      <c r="C28" s="321"/>
      <c r="D28" s="320"/>
      <c r="E28" s="320"/>
      <c r="F28" s="331"/>
      <c r="G28" s="327"/>
      <c r="H28" s="321"/>
      <c r="I28" s="320"/>
      <c r="O28" s="310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</row>
    <row r="29" spans="1:29" x14ac:dyDescent="0.25">
      <c r="A29" s="315" t="s">
        <v>270</v>
      </c>
      <c r="B29" s="327"/>
      <c r="C29" s="321"/>
      <c r="D29" s="320"/>
      <c r="E29" s="320"/>
      <c r="F29" s="331"/>
      <c r="G29" s="327"/>
      <c r="H29" s="321"/>
      <c r="I29" s="320"/>
      <c r="O29" s="310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</row>
    <row r="30" spans="1:29" x14ac:dyDescent="0.25">
      <c r="A30" s="315" t="s">
        <v>271</v>
      </c>
      <c r="B30" s="327"/>
      <c r="C30" s="321"/>
      <c r="D30" s="320"/>
      <c r="E30" s="320"/>
      <c r="F30" s="331"/>
      <c r="G30" s="327"/>
      <c r="H30" s="321"/>
      <c r="I30" s="320"/>
      <c r="O30" s="310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  <c r="AA30" s="312"/>
      <c r="AB30" s="312"/>
      <c r="AC30" s="312"/>
    </row>
    <row r="31" spans="1:29" x14ac:dyDescent="0.25">
      <c r="A31" s="315" t="s">
        <v>272</v>
      </c>
      <c r="B31" s="327"/>
      <c r="C31" s="321"/>
      <c r="D31" s="320"/>
      <c r="E31" s="320"/>
      <c r="F31" s="331"/>
      <c r="G31" s="327"/>
      <c r="H31" s="321"/>
      <c r="I31" s="320"/>
      <c r="O31" s="310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</row>
    <row r="32" spans="1:29" x14ac:dyDescent="0.25">
      <c r="A32" s="315" t="s">
        <v>273</v>
      </c>
      <c r="B32" s="327"/>
      <c r="C32" s="321"/>
      <c r="D32" s="320"/>
      <c r="E32" s="320"/>
      <c r="F32" s="331"/>
      <c r="G32" s="327"/>
      <c r="H32" s="321"/>
      <c r="I32" s="320"/>
      <c r="O32" s="310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</row>
    <row r="33" spans="1:29" x14ac:dyDescent="0.25">
      <c r="A33" s="315" t="s">
        <v>274</v>
      </c>
      <c r="B33" s="327"/>
      <c r="C33" s="321"/>
      <c r="D33" s="320"/>
      <c r="E33" s="320"/>
      <c r="F33" s="331"/>
      <c r="G33" s="327"/>
      <c r="H33" s="321"/>
      <c r="I33" s="320"/>
      <c r="O33" s="310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</row>
    <row r="34" spans="1:29" ht="15.75" thickBot="1" x14ac:dyDescent="0.3">
      <c r="A34" s="316" t="s">
        <v>275</v>
      </c>
      <c r="B34" s="328"/>
      <c r="C34" s="317"/>
      <c r="D34" s="251"/>
      <c r="E34" s="251"/>
      <c r="F34" s="332"/>
      <c r="G34" s="328"/>
      <c r="H34" s="317"/>
      <c r="I34" s="251"/>
      <c r="O34" s="310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</row>
    <row r="37" spans="1:29" ht="15.75" thickBot="1" x14ac:dyDescent="0.3"/>
    <row r="38" spans="1:29" ht="45.75" thickBot="1" x14ac:dyDescent="0.3">
      <c r="A38" s="303" t="s">
        <v>276</v>
      </c>
      <c r="B38" s="324" t="s">
        <v>239</v>
      </c>
      <c r="C38" s="322" t="s">
        <v>240</v>
      </c>
      <c r="D38" s="304" t="s">
        <v>241</v>
      </c>
      <c r="E38" s="304" t="s">
        <v>242</v>
      </c>
      <c r="F38" s="329" t="s">
        <v>231</v>
      </c>
      <c r="G38" s="324" t="s">
        <v>243</v>
      </c>
      <c r="H38" s="333" t="s">
        <v>240</v>
      </c>
      <c r="I38" s="305" t="s">
        <v>231</v>
      </c>
    </row>
    <row r="39" spans="1:29" x14ac:dyDescent="0.25">
      <c r="A39" s="309" t="s">
        <v>178</v>
      </c>
      <c r="B39" s="325"/>
      <c r="C39" s="323"/>
      <c r="D39" s="319"/>
      <c r="E39" s="319"/>
      <c r="F39" s="330"/>
      <c r="G39" s="334"/>
      <c r="H39" s="323"/>
      <c r="I39" s="319"/>
    </row>
    <row r="40" spans="1:29" x14ac:dyDescent="0.25">
      <c r="A40" s="313" t="s">
        <v>244</v>
      </c>
      <c r="B40" s="326" t="s">
        <v>245</v>
      </c>
      <c r="C40" s="321"/>
      <c r="D40" s="320"/>
      <c r="E40" s="320"/>
      <c r="F40" s="331"/>
      <c r="G40" s="327"/>
      <c r="H40" s="321"/>
      <c r="I40" s="320"/>
    </row>
    <row r="41" spans="1:29" x14ac:dyDescent="0.25">
      <c r="A41" s="315" t="s">
        <v>246</v>
      </c>
      <c r="B41" s="327"/>
      <c r="C41" s="321"/>
      <c r="D41" s="320"/>
      <c r="E41" s="320"/>
      <c r="F41" s="331"/>
      <c r="G41" s="327"/>
      <c r="H41" s="321"/>
      <c r="I41" s="320"/>
    </row>
    <row r="42" spans="1:29" x14ac:dyDescent="0.25">
      <c r="A42" s="315" t="s">
        <v>247</v>
      </c>
      <c r="B42" s="327"/>
      <c r="C42" s="321"/>
      <c r="D42" s="320"/>
      <c r="E42" s="320"/>
      <c r="F42" s="331"/>
      <c r="G42" s="327"/>
      <c r="H42" s="321"/>
      <c r="I42" s="320"/>
    </row>
    <row r="43" spans="1:29" x14ac:dyDescent="0.25">
      <c r="A43" s="315" t="s">
        <v>248</v>
      </c>
      <c r="B43" s="327"/>
      <c r="C43" s="321"/>
      <c r="D43" s="320"/>
      <c r="E43" s="320"/>
      <c r="F43" s="331"/>
      <c r="G43" s="327"/>
      <c r="H43" s="321"/>
      <c r="I43" s="320"/>
    </row>
    <row r="44" spans="1:29" x14ac:dyDescent="0.25">
      <c r="A44" s="315" t="s">
        <v>249</v>
      </c>
      <c r="B44" s="327"/>
      <c r="C44" s="321"/>
      <c r="D44" s="320"/>
      <c r="E44" s="320"/>
      <c r="F44" s="331"/>
      <c r="G44" s="327"/>
      <c r="H44" s="321"/>
      <c r="I44" s="320"/>
    </row>
    <row r="45" spans="1:29" x14ac:dyDescent="0.25">
      <c r="A45" s="315" t="s">
        <v>250</v>
      </c>
      <c r="B45" s="327"/>
      <c r="C45" s="321"/>
      <c r="D45" s="320"/>
      <c r="E45" s="320"/>
      <c r="F45" s="331"/>
      <c r="G45" s="327"/>
      <c r="H45" s="321"/>
      <c r="I45" s="320"/>
    </row>
    <row r="46" spans="1:29" x14ac:dyDescent="0.25">
      <c r="A46" s="315" t="s">
        <v>251</v>
      </c>
      <c r="B46" s="327"/>
      <c r="C46" s="321"/>
      <c r="D46" s="320"/>
      <c r="E46" s="320"/>
      <c r="F46" s="331"/>
      <c r="G46" s="327"/>
      <c r="H46" s="321"/>
      <c r="I46" s="320"/>
    </row>
    <row r="47" spans="1:29" x14ac:dyDescent="0.25">
      <c r="A47" s="315" t="s">
        <v>252</v>
      </c>
      <c r="B47" s="327"/>
      <c r="C47" s="321"/>
      <c r="D47" s="320"/>
      <c r="E47" s="320"/>
      <c r="F47" s="331"/>
      <c r="G47" s="327"/>
      <c r="H47" s="321"/>
      <c r="I47" s="320"/>
    </row>
    <row r="48" spans="1:29" x14ac:dyDescent="0.25">
      <c r="A48" s="315" t="s">
        <v>253</v>
      </c>
      <c r="B48" s="327"/>
      <c r="C48" s="321"/>
      <c r="D48" s="320"/>
      <c r="E48" s="320"/>
      <c r="F48" s="331"/>
      <c r="G48" s="327"/>
      <c r="H48" s="321"/>
      <c r="I48" s="320"/>
    </row>
    <row r="49" spans="1:9" x14ac:dyDescent="0.25">
      <c r="A49" s="315" t="s">
        <v>254</v>
      </c>
      <c r="B49" s="327"/>
      <c r="C49" s="321"/>
      <c r="D49" s="320"/>
      <c r="E49" s="320"/>
      <c r="F49" s="331"/>
      <c r="G49" s="327"/>
      <c r="H49" s="321"/>
      <c r="I49" s="320"/>
    </row>
    <row r="50" spans="1:9" x14ac:dyDescent="0.25">
      <c r="A50" s="315" t="s">
        <v>255</v>
      </c>
      <c r="B50" s="327"/>
      <c r="C50" s="321"/>
      <c r="D50" s="320"/>
      <c r="E50" s="320"/>
      <c r="F50" s="331"/>
      <c r="G50" s="327"/>
      <c r="H50" s="321"/>
      <c r="I50" s="320"/>
    </row>
    <row r="51" spans="1:9" x14ac:dyDescent="0.25">
      <c r="A51" s="315" t="s">
        <v>256</v>
      </c>
      <c r="B51" s="327"/>
      <c r="C51" s="321"/>
      <c r="D51" s="320"/>
      <c r="E51" s="320"/>
      <c r="F51" s="331"/>
      <c r="G51" s="327"/>
      <c r="H51" s="321"/>
      <c r="I51" s="320"/>
    </row>
    <row r="52" spans="1:9" x14ac:dyDescent="0.25">
      <c r="A52" s="315" t="s">
        <v>257</v>
      </c>
      <c r="B52" s="327"/>
      <c r="C52" s="321"/>
      <c r="D52" s="320"/>
      <c r="E52" s="320"/>
      <c r="F52" s="331"/>
      <c r="G52" s="327"/>
      <c r="H52" s="321"/>
      <c r="I52" s="320"/>
    </row>
    <row r="53" spans="1:9" x14ac:dyDescent="0.25">
      <c r="A53" s="315" t="s">
        <v>258</v>
      </c>
      <c r="B53" s="327"/>
      <c r="C53" s="321"/>
      <c r="D53" s="320"/>
      <c r="E53" s="320"/>
      <c r="F53" s="331"/>
      <c r="G53" s="327"/>
      <c r="H53" s="321"/>
      <c r="I53" s="320"/>
    </row>
    <row r="54" spans="1:9" x14ac:dyDescent="0.25">
      <c r="A54" s="315" t="s">
        <v>259</v>
      </c>
      <c r="B54" s="327"/>
      <c r="C54" s="321"/>
      <c r="D54" s="320"/>
      <c r="E54" s="320"/>
      <c r="F54" s="331"/>
      <c r="G54" s="327"/>
      <c r="H54" s="321"/>
      <c r="I54" s="320"/>
    </row>
    <row r="55" spans="1:9" x14ac:dyDescent="0.25">
      <c r="A55" s="315" t="s">
        <v>260</v>
      </c>
      <c r="B55" s="327"/>
      <c r="C55" s="321"/>
      <c r="D55" s="320"/>
      <c r="E55" s="320"/>
      <c r="F55" s="331"/>
      <c r="G55" s="327"/>
      <c r="H55" s="321"/>
      <c r="I55" s="320"/>
    </row>
    <row r="56" spans="1:9" x14ac:dyDescent="0.25">
      <c r="A56" s="315" t="s">
        <v>261</v>
      </c>
      <c r="B56" s="327"/>
      <c r="C56" s="321"/>
      <c r="D56" s="320"/>
      <c r="E56" s="320"/>
      <c r="F56" s="331"/>
      <c r="G56" s="327"/>
      <c r="H56" s="321"/>
      <c r="I56" s="320"/>
    </row>
    <row r="57" spans="1:9" x14ac:dyDescent="0.25">
      <c r="A57" s="315" t="s">
        <v>262</v>
      </c>
      <c r="B57" s="327"/>
      <c r="C57" s="321"/>
      <c r="D57" s="320"/>
      <c r="E57" s="320"/>
      <c r="F57" s="331"/>
      <c r="G57" s="327"/>
      <c r="H57" s="321"/>
      <c r="I57" s="320"/>
    </row>
    <row r="58" spans="1:9" x14ac:dyDescent="0.25">
      <c r="A58" s="315" t="s">
        <v>263</v>
      </c>
      <c r="B58" s="327"/>
      <c r="C58" s="321"/>
      <c r="D58" s="320"/>
      <c r="E58" s="320"/>
      <c r="F58" s="331"/>
      <c r="G58" s="327"/>
      <c r="H58" s="321"/>
      <c r="I58" s="320"/>
    </row>
    <row r="59" spans="1:9" x14ac:dyDescent="0.25">
      <c r="A59" s="315" t="s">
        <v>264</v>
      </c>
      <c r="B59" s="327"/>
      <c r="C59" s="321"/>
      <c r="D59" s="320"/>
      <c r="E59" s="320"/>
      <c r="F59" s="331"/>
      <c r="G59" s="327"/>
      <c r="H59" s="321"/>
      <c r="I59" s="320"/>
    </row>
    <row r="60" spans="1:9" x14ac:dyDescent="0.25">
      <c r="A60" s="315" t="s">
        <v>265</v>
      </c>
      <c r="B60" s="327"/>
      <c r="C60" s="321"/>
      <c r="D60" s="320"/>
      <c r="E60" s="320"/>
      <c r="F60" s="331"/>
      <c r="G60" s="327"/>
      <c r="H60" s="321"/>
      <c r="I60" s="320"/>
    </row>
    <row r="61" spans="1:9" x14ac:dyDescent="0.25">
      <c r="A61" s="315" t="s">
        <v>266</v>
      </c>
      <c r="B61" s="327"/>
      <c r="C61" s="321"/>
      <c r="D61" s="320"/>
      <c r="E61" s="320"/>
      <c r="F61" s="331"/>
      <c r="G61" s="327"/>
      <c r="H61" s="321"/>
      <c r="I61" s="320"/>
    </row>
    <row r="62" spans="1:9" x14ac:dyDescent="0.25">
      <c r="A62" s="315" t="s">
        <v>267</v>
      </c>
      <c r="B62" s="327"/>
      <c r="C62" s="321"/>
      <c r="D62" s="320"/>
      <c r="E62" s="320"/>
      <c r="F62" s="331"/>
      <c r="G62" s="327"/>
      <c r="H62" s="321"/>
      <c r="I62" s="320"/>
    </row>
    <row r="63" spans="1:9" x14ac:dyDescent="0.25">
      <c r="A63" s="315" t="s">
        <v>268</v>
      </c>
      <c r="B63" s="327"/>
      <c r="C63" s="321"/>
      <c r="D63" s="320"/>
      <c r="E63" s="320"/>
      <c r="F63" s="331"/>
      <c r="G63" s="327"/>
      <c r="H63" s="321"/>
      <c r="I63" s="320"/>
    </row>
    <row r="64" spans="1:9" x14ac:dyDescent="0.25">
      <c r="A64" s="315" t="s">
        <v>269</v>
      </c>
      <c r="B64" s="327"/>
      <c r="C64" s="321"/>
      <c r="D64" s="320"/>
      <c r="E64" s="320"/>
      <c r="F64" s="331"/>
      <c r="G64" s="327"/>
      <c r="H64" s="321"/>
      <c r="I64" s="320"/>
    </row>
    <row r="65" spans="1:9" x14ac:dyDescent="0.25">
      <c r="A65" s="315" t="s">
        <v>270</v>
      </c>
      <c r="B65" s="327"/>
      <c r="C65" s="321"/>
      <c r="D65" s="320"/>
      <c r="E65" s="320"/>
      <c r="F65" s="331"/>
      <c r="G65" s="327"/>
      <c r="H65" s="321"/>
      <c r="I65" s="320"/>
    </row>
    <row r="66" spans="1:9" x14ac:dyDescent="0.25">
      <c r="A66" s="315" t="s">
        <v>271</v>
      </c>
      <c r="B66" s="327"/>
      <c r="C66" s="321"/>
      <c r="D66" s="320"/>
      <c r="E66" s="320"/>
      <c r="F66" s="331"/>
      <c r="G66" s="327"/>
      <c r="H66" s="321"/>
      <c r="I66" s="320"/>
    </row>
    <row r="67" spans="1:9" x14ac:dyDescent="0.25">
      <c r="A67" s="315" t="s">
        <v>272</v>
      </c>
      <c r="B67" s="327"/>
      <c r="C67" s="321"/>
      <c r="D67" s="320"/>
      <c r="E67" s="320"/>
      <c r="F67" s="331"/>
      <c r="G67" s="327"/>
      <c r="H67" s="321"/>
      <c r="I67" s="320"/>
    </row>
    <row r="68" spans="1:9" x14ac:dyDescent="0.25">
      <c r="A68" s="315" t="s">
        <v>273</v>
      </c>
      <c r="B68" s="327"/>
      <c r="C68" s="321"/>
      <c r="D68" s="320"/>
      <c r="E68" s="320"/>
      <c r="F68" s="331"/>
      <c r="G68" s="327"/>
      <c r="H68" s="321"/>
      <c r="I68" s="320"/>
    </row>
    <row r="69" spans="1:9" x14ac:dyDescent="0.25">
      <c r="A69" s="315" t="s">
        <v>274</v>
      </c>
      <c r="B69" s="327"/>
      <c r="C69" s="321"/>
      <c r="D69" s="320"/>
      <c r="E69" s="320"/>
      <c r="F69" s="331"/>
      <c r="G69" s="327"/>
      <c r="H69" s="321"/>
      <c r="I69" s="320"/>
    </row>
    <row r="70" spans="1:9" ht="15.75" thickBot="1" x14ac:dyDescent="0.3">
      <c r="A70" s="316" t="s">
        <v>275</v>
      </c>
      <c r="B70" s="328"/>
      <c r="C70" s="317"/>
      <c r="D70" s="251"/>
      <c r="E70" s="251"/>
      <c r="F70" s="332"/>
      <c r="G70" s="328"/>
      <c r="H70" s="317"/>
      <c r="I70" s="251"/>
    </row>
  </sheetData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A1:I138"/>
  <sheetViews>
    <sheetView view="pageBreakPreview" topLeftCell="A46" zoomScale="60" zoomScaleNormal="80" workbookViewId="0">
      <selection activeCell="S53" sqref="S53"/>
    </sheetView>
  </sheetViews>
  <sheetFormatPr defaultColWidth="8.85546875" defaultRowHeight="15" x14ac:dyDescent="0.25"/>
  <cols>
    <col min="1" max="1" width="26" customWidth="1"/>
    <col min="2" max="2" width="11.42578125" customWidth="1"/>
    <col min="4" max="4" width="20.85546875" customWidth="1"/>
    <col min="6" max="8" width="12.42578125" bestFit="1" customWidth="1"/>
    <col min="9" max="9" width="13.140625" bestFit="1" customWidth="1"/>
  </cols>
  <sheetData>
    <row r="1" spans="1:9" ht="15.75" thickBot="1" x14ac:dyDescent="0.3"/>
    <row r="2" spans="1:9" x14ac:dyDescent="0.25">
      <c r="A2" s="800" t="str">
        <f>'Parametre - Agendové IS'!G1</f>
        <v>Modul 1</v>
      </c>
      <c r="B2" s="801"/>
      <c r="C2" s="802"/>
      <c r="D2" s="806" t="s">
        <v>105</v>
      </c>
      <c r="E2" s="807"/>
      <c r="F2" s="363" t="s">
        <v>173</v>
      </c>
      <c r="G2" s="363" t="s">
        <v>174</v>
      </c>
      <c r="H2" s="363" t="s">
        <v>175</v>
      </c>
      <c r="I2" s="363" t="s">
        <v>177</v>
      </c>
    </row>
    <row r="3" spans="1:9" ht="15.75" thickBot="1" x14ac:dyDescent="0.3">
      <c r="A3" s="803"/>
      <c r="B3" s="804"/>
      <c r="C3" s="805"/>
      <c r="D3" s="590" t="s">
        <v>378</v>
      </c>
      <c r="E3" s="591" t="s">
        <v>176</v>
      </c>
      <c r="F3" s="184" t="s">
        <v>176</v>
      </c>
      <c r="G3" s="184" t="s">
        <v>176</v>
      </c>
      <c r="H3" s="184" t="s">
        <v>176</v>
      </c>
      <c r="I3" s="184" t="s">
        <v>176</v>
      </c>
    </row>
    <row r="4" spans="1:9" ht="15" customHeight="1" x14ac:dyDescent="0.25">
      <c r="A4" s="794" t="s">
        <v>43</v>
      </c>
      <c r="B4" s="797" t="s">
        <v>194</v>
      </c>
      <c r="C4" s="185" t="s">
        <v>25</v>
      </c>
      <c r="D4" s="592" t="str">
        <f>IF(E4='Parametre - Agendové IS'!H87,"OK","Chyba počtu FTE")</f>
        <v>OK</v>
      </c>
      <c r="E4" s="593">
        <f t="shared" ref="E4:E33" si="0">F4+G4+H4+I4</f>
        <v>0</v>
      </c>
      <c r="F4" s="250"/>
      <c r="G4" s="250"/>
      <c r="H4" s="250"/>
      <c r="I4" s="250"/>
    </row>
    <row r="5" spans="1:9" x14ac:dyDescent="0.25">
      <c r="A5" s="795"/>
      <c r="B5" s="798"/>
      <c r="C5" s="182" t="s">
        <v>26</v>
      </c>
      <c r="D5" s="594" t="str">
        <f>IF(E5='Parametre - Agendové IS'!H88,"OK","Chyba počtu FTE")</f>
        <v>OK</v>
      </c>
      <c r="E5" s="595">
        <f t="shared" si="0"/>
        <v>0</v>
      </c>
      <c r="F5" s="251"/>
      <c r="G5" s="251"/>
      <c r="H5" s="251"/>
      <c r="I5" s="251"/>
    </row>
    <row r="6" spans="1:9" x14ac:dyDescent="0.25">
      <c r="A6" s="795"/>
      <c r="B6" s="798"/>
      <c r="C6" s="182" t="s">
        <v>27</v>
      </c>
      <c r="D6" s="594" t="str">
        <f>IF(E6='Parametre - Agendové IS'!H89,"OK","Chyba počtu FTE")</f>
        <v>OK</v>
      </c>
      <c r="E6" s="595">
        <f t="shared" si="0"/>
        <v>0</v>
      </c>
      <c r="F6" s="251"/>
      <c r="G6" s="251"/>
      <c r="H6" s="251"/>
      <c r="I6" s="251"/>
    </row>
    <row r="7" spans="1:9" x14ac:dyDescent="0.25">
      <c r="A7" s="795"/>
      <c r="B7" s="798"/>
      <c r="C7" s="182" t="s">
        <v>28</v>
      </c>
      <c r="D7" s="594" t="str">
        <f>IF(E7='Parametre - Agendové IS'!H90,"OK","Chyba počtu FTE")</f>
        <v>OK</v>
      </c>
      <c r="E7" s="595">
        <f t="shared" si="0"/>
        <v>0</v>
      </c>
      <c r="F7" s="251"/>
      <c r="G7" s="251"/>
      <c r="H7" s="251"/>
      <c r="I7" s="251"/>
    </row>
    <row r="8" spans="1:9" x14ac:dyDescent="0.25">
      <c r="A8" s="795"/>
      <c r="B8" s="798"/>
      <c r="C8" s="182" t="s">
        <v>29</v>
      </c>
      <c r="D8" s="594" t="str">
        <f>IF(E8='Parametre - Agendové IS'!H91,"OK","Chyba počtu FTE")</f>
        <v>OK</v>
      </c>
      <c r="E8" s="595">
        <f t="shared" si="0"/>
        <v>0</v>
      </c>
      <c r="F8" s="251"/>
      <c r="G8" s="251"/>
      <c r="H8" s="251"/>
      <c r="I8" s="251"/>
    </row>
    <row r="9" spans="1:9" x14ac:dyDescent="0.25">
      <c r="A9" s="795"/>
      <c r="B9" s="798"/>
      <c r="C9" s="182" t="s">
        <v>30</v>
      </c>
      <c r="D9" s="594" t="str">
        <f>IF(E9='Parametre - Agendové IS'!H92,"OK","Chyba počtu FTE")</f>
        <v>OK</v>
      </c>
      <c r="E9" s="595">
        <f t="shared" si="0"/>
        <v>0</v>
      </c>
      <c r="F9" s="251"/>
      <c r="G9" s="251"/>
      <c r="H9" s="251"/>
      <c r="I9" s="251"/>
    </row>
    <row r="10" spans="1:9" x14ac:dyDescent="0.25">
      <c r="A10" s="795"/>
      <c r="B10" s="798"/>
      <c r="C10" s="182" t="s">
        <v>31</v>
      </c>
      <c r="D10" s="594" t="str">
        <f>IF(E10='Parametre - Agendové IS'!H93,"OK","Chyba počtu FTE")</f>
        <v>OK</v>
      </c>
      <c r="E10" s="595">
        <f t="shared" si="0"/>
        <v>0</v>
      </c>
      <c r="F10" s="251"/>
      <c r="G10" s="251"/>
      <c r="H10" s="251"/>
      <c r="I10" s="251"/>
    </row>
    <row r="11" spans="1:9" x14ac:dyDescent="0.25">
      <c r="A11" s="795"/>
      <c r="B11" s="798"/>
      <c r="C11" s="182" t="s">
        <v>32</v>
      </c>
      <c r="D11" s="594" t="str">
        <f>IF(E11='Parametre - Agendové IS'!H94,"OK","Chyba počtu FTE")</f>
        <v>OK</v>
      </c>
      <c r="E11" s="595">
        <f t="shared" si="0"/>
        <v>0</v>
      </c>
      <c r="F11" s="251"/>
      <c r="G11" s="251"/>
      <c r="H11" s="251"/>
      <c r="I11" s="251"/>
    </row>
    <row r="12" spans="1:9" x14ac:dyDescent="0.25">
      <c r="A12" s="795"/>
      <c r="B12" s="798"/>
      <c r="C12" s="182" t="s">
        <v>33</v>
      </c>
      <c r="D12" s="594" t="str">
        <f>IF(E12='Parametre - Agendové IS'!H95,"OK","Chyba počtu FTE")</f>
        <v>OK</v>
      </c>
      <c r="E12" s="595">
        <f t="shared" si="0"/>
        <v>0</v>
      </c>
      <c r="F12" s="251"/>
      <c r="G12" s="251"/>
      <c r="H12" s="251"/>
      <c r="I12" s="251"/>
    </row>
    <row r="13" spans="1:9" ht="15.75" thickBot="1" x14ac:dyDescent="0.3">
      <c r="A13" s="795"/>
      <c r="B13" s="798"/>
      <c r="C13" s="182" t="s">
        <v>34</v>
      </c>
      <c r="D13" s="596" t="str">
        <f>IF(E13='Parametre - Agendové IS'!H96,"OK","Chyba počtu FTE")</f>
        <v>OK</v>
      </c>
      <c r="E13" s="597">
        <f t="shared" si="0"/>
        <v>0</v>
      </c>
      <c r="F13" s="252"/>
      <c r="G13" s="252"/>
      <c r="H13" s="252"/>
      <c r="I13" s="252"/>
    </row>
    <row r="14" spans="1:9" ht="15" customHeight="1" x14ac:dyDescent="0.25">
      <c r="A14" s="794" t="s">
        <v>41</v>
      </c>
      <c r="B14" s="797" t="s">
        <v>37</v>
      </c>
      <c r="C14" s="185" t="s">
        <v>25</v>
      </c>
      <c r="D14" s="593" t="str">
        <f>IF(E14='Parametre - Agendové IS'!H6,"OK","Chyba počtu podaní")</f>
        <v>Chyba počtu podaní</v>
      </c>
      <c r="E14" s="598">
        <f t="shared" si="0"/>
        <v>0</v>
      </c>
      <c r="F14" s="250"/>
      <c r="G14" s="250"/>
      <c r="H14" s="250"/>
      <c r="I14" s="250"/>
    </row>
    <row r="15" spans="1:9" x14ac:dyDescent="0.25">
      <c r="A15" s="795"/>
      <c r="B15" s="798"/>
      <c r="C15" s="182" t="s">
        <v>26</v>
      </c>
      <c r="D15" s="594" t="str">
        <f>IF(E15='Parametre - Agendové IS'!H7,"OK","Chyba počtu podaní")</f>
        <v>Chyba počtu podaní</v>
      </c>
      <c r="E15" s="595">
        <f t="shared" si="0"/>
        <v>0</v>
      </c>
      <c r="F15" s="251"/>
      <c r="G15" s="251"/>
      <c r="H15" s="251"/>
      <c r="I15" s="251"/>
    </row>
    <row r="16" spans="1:9" x14ac:dyDescent="0.25">
      <c r="A16" s="795"/>
      <c r="B16" s="798"/>
      <c r="C16" s="182" t="s">
        <v>27</v>
      </c>
      <c r="D16" s="594" t="str">
        <f>IF(E16='Parametre - Agendové IS'!H8,"OK","Chyba počtu podaní")</f>
        <v>Chyba počtu podaní</v>
      </c>
      <c r="E16" s="595">
        <f t="shared" si="0"/>
        <v>0</v>
      </c>
      <c r="F16" s="251"/>
      <c r="G16" s="251"/>
      <c r="H16" s="251"/>
      <c r="I16" s="251"/>
    </row>
    <row r="17" spans="1:9" x14ac:dyDescent="0.25">
      <c r="A17" s="795"/>
      <c r="B17" s="798"/>
      <c r="C17" s="182" t="s">
        <v>28</v>
      </c>
      <c r="D17" s="594" t="str">
        <f>IF(E17='Parametre - Agendové IS'!H9,"OK","Chyba počtu podaní")</f>
        <v>Chyba počtu podaní</v>
      </c>
      <c r="E17" s="595">
        <f t="shared" si="0"/>
        <v>0</v>
      </c>
      <c r="F17" s="251"/>
      <c r="G17" s="251"/>
      <c r="H17" s="251"/>
      <c r="I17" s="251"/>
    </row>
    <row r="18" spans="1:9" x14ac:dyDescent="0.25">
      <c r="A18" s="795"/>
      <c r="B18" s="798"/>
      <c r="C18" s="182" t="s">
        <v>29</v>
      </c>
      <c r="D18" s="594" t="str">
        <f>IF(E18='Parametre - Agendové IS'!H10,"OK","Chyba počtu podaní")</f>
        <v>Chyba počtu podaní</v>
      </c>
      <c r="E18" s="595">
        <f t="shared" si="0"/>
        <v>0</v>
      </c>
      <c r="F18" s="251"/>
      <c r="G18" s="251"/>
      <c r="H18" s="251"/>
      <c r="I18" s="251"/>
    </row>
    <row r="19" spans="1:9" x14ac:dyDescent="0.25">
      <c r="A19" s="795"/>
      <c r="B19" s="798"/>
      <c r="C19" s="182" t="s">
        <v>30</v>
      </c>
      <c r="D19" s="594" t="str">
        <f>IF(E19='Parametre - Agendové IS'!H11,"OK","Chyba počtu podaní")</f>
        <v>Chyba počtu podaní</v>
      </c>
      <c r="E19" s="595">
        <f t="shared" si="0"/>
        <v>0</v>
      </c>
      <c r="F19" s="251"/>
      <c r="G19" s="251"/>
      <c r="H19" s="251"/>
      <c r="I19" s="251"/>
    </row>
    <row r="20" spans="1:9" x14ac:dyDescent="0.25">
      <c r="A20" s="795"/>
      <c r="B20" s="798"/>
      <c r="C20" s="182" t="s">
        <v>31</v>
      </c>
      <c r="D20" s="594" t="str">
        <f>IF(E20='Parametre - Agendové IS'!H12,"OK","Chyba počtu podaní")</f>
        <v>Chyba počtu podaní</v>
      </c>
      <c r="E20" s="595">
        <f t="shared" si="0"/>
        <v>0</v>
      </c>
      <c r="F20" s="251"/>
      <c r="G20" s="251"/>
      <c r="H20" s="251"/>
      <c r="I20" s="251"/>
    </row>
    <row r="21" spans="1:9" x14ac:dyDescent="0.25">
      <c r="A21" s="795"/>
      <c r="B21" s="798"/>
      <c r="C21" s="182" t="s">
        <v>32</v>
      </c>
      <c r="D21" s="594" t="str">
        <f>IF(E21='Parametre - Agendové IS'!H13,"OK","Chyba počtu podaní")</f>
        <v>Chyba počtu podaní</v>
      </c>
      <c r="E21" s="595">
        <f t="shared" si="0"/>
        <v>0</v>
      </c>
      <c r="F21" s="251"/>
      <c r="G21" s="251"/>
      <c r="H21" s="251"/>
      <c r="I21" s="251"/>
    </row>
    <row r="22" spans="1:9" x14ac:dyDescent="0.25">
      <c r="A22" s="795"/>
      <c r="B22" s="798"/>
      <c r="C22" s="182" t="s">
        <v>33</v>
      </c>
      <c r="D22" s="594" t="str">
        <f>IF(E22='Parametre - Agendové IS'!H14,"OK","Chyba počtu podaní")</f>
        <v>Chyba počtu podaní</v>
      </c>
      <c r="E22" s="595">
        <f t="shared" si="0"/>
        <v>0</v>
      </c>
      <c r="F22" s="251"/>
      <c r="G22" s="251"/>
      <c r="H22" s="251"/>
      <c r="I22" s="251"/>
    </row>
    <row r="23" spans="1:9" ht="15.75" thickBot="1" x14ac:dyDescent="0.3">
      <c r="A23" s="796"/>
      <c r="B23" s="799"/>
      <c r="C23" s="183" t="s">
        <v>34</v>
      </c>
      <c r="D23" s="594" t="str">
        <f>IF(E23='Parametre - Agendové IS'!H15,"OK","Chyba počtu podaní")</f>
        <v>Chyba počtu podaní</v>
      </c>
      <c r="E23" s="595">
        <f t="shared" si="0"/>
        <v>0</v>
      </c>
      <c r="F23" s="251"/>
      <c r="G23" s="251"/>
      <c r="H23" s="251"/>
      <c r="I23" s="251"/>
    </row>
    <row r="24" spans="1:9" x14ac:dyDescent="0.25">
      <c r="A24" s="794" t="s">
        <v>39</v>
      </c>
      <c r="B24" s="797" t="s">
        <v>13</v>
      </c>
      <c r="C24" s="185" t="s">
        <v>25</v>
      </c>
      <c r="D24" s="593" t="str">
        <f>IF(E24='Parametre - Agendové IS'!H127,"OK","Chyba")</f>
        <v>OK</v>
      </c>
      <c r="E24" s="598">
        <f t="shared" si="0"/>
        <v>0</v>
      </c>
      <c r="F24" s="250"/>
      <c r="G24" s="250"/>
      <c r="H24" s="250"/>
      <c r="I24" s="250"/>
    </row>
    <row r="25" spans="1:9" x14ac:dyDescent="0.25">
      <c r="A25" s="795"/>
      <c r="B25" s="798"/>
      <c r="C25" s="182" t="s">
        <v>26</v>
      </c>
      <c r="D25" s="594" t="str">
        <f>IF(E25='Parametre - Agendové IS'!H128,"OK","Chyba")</f>
        <v>OK</v>
      </c>
      <c r="E25" s="595">
        <f t="shared" si="0"/>
        <v>0</v>
      </c>
      <c r="F25" s="251"/>
      <c r="G25" s="251"/>
      <c r="H25" s="251"/>
      <c r="I25" s="251"/>
    </row>
    <row r="26" spans="1:9" x14ac:dyDescent="0.25">
      <c r="A26" s="795"/>
      <c r="B26" s="798"/>
      <c r="C26" s="182" t="s">
        <v>27</v>
      </c>
      <c r="D26" s="594" t="str">
        <f>IF(E26='Parametre - Agendové IS'!H129,"OK","Chyba")</f>
        <v>OK</v>
      </c>
      <c r="E26" s="595">
        <f t="shared" si="0"/>
        <v>0</v>
      </c>
      <c r="F26" s="251"/>
      <c r="G26" s="251"/>
      <c r="H26" s="251"/>
      <c r="I26" s="251"/>
    </row>
    <row r="27" spans="1:9" x14ac:dyDescent="0.25">
      <c r="A27" s="795"/>
      <c r="B27" s="798"/>
      <c r="C27" s="182" t="s">
        <v>28</v>
      </c>
      <c r="D27" s="594" t="str">
        <f>IF(E27='Parametre - Agendové IS'!H130,"OK","Chyba")</f>
        <v>OK</v>
      </c>
      <c r="E27" s="595">
        <f t="shared" si="0"/>
        <v>0</v>
      </c>
      <c r="F27" s="251"/>
      <c r="G27" s="251"/>
      <c r="H27" s="251"/>
      <c r="I27" s="251"/>
    </row>
    <row r="28" spans="1:9" x14ac:dyDescent="0.25">
      <c r="A28" s="795"/>
      <c r="B28" s="798"/>
      <c r="C28" s="182" t="s">
        <v>29</v>
      </c>
      <c r="D28" s="594" t="str">
        <f>IF(E28='Parametre - Agendové IS'!H131,"OK","Chyba")</f>
        <v>OK</v>
      </c>
      <c r="E28" s="595">
        <f t="shared" si="0"/>
        <v>0</v>
      </c>
      <c r="F28" s="251"/>
      <c r="G28" s="251"/>
      <c r="H28" s="251"/>
      <c r="I28" s="251"/>
    </row>
    <row r="29" spans="1:9" x14ac:dyDescent="0.25">
      <c r="A29" s="795"/>
      <c r="B29" s="798"/>
      <c r="C29" s="182" t="s">
        <v>30</v>
      </c>
      <c r="D29" s="594" t="str">
        <f>IF(E29='Parametre - Agendové IS'!H132,"OK","Chyba")</f>
        <v>OK</v>
      </c>
      <c r="E29" s="595">
        <f t="shared" si="0"/>
        <v>0</v>
      </c>
      <c r="F29" s="251"/>
      <c r="G29" s="251"/>
      <c r="H29" s="251"/>
      <c r="I29" s="251"/>
    </row>
    <row r="30" spans="1:9" x14ac:dyDescent="0.25">
      <c r="A30" s="795"/>
      <c r="B30" s="798"/>
      <c r="C30" s="182" t="s">
        <v>31</v>
      </c>
      <c r="D30" s="594" t="str">
        <f>IF(E30='Parametre - Agendové IS'!H133,"OK","Chyba")</f>
        <v>OK</v>
      </c>
      <c r="E30" s="595">
        <f t="shared" si="0"/>
        <v>0</v>
      </c>
      <c r="F30" s="251"/>
      <c r="G30" s="251"/>
      <c r="H30" s="251"/>
      <c r="I30" s="251"/>
    </row>
    <row r="31" spans="1:9" x14ac:dyDescent="0.25">
      <c r="A31" s="795"/>
      <c r="B31" s="798"/>
      <c r="C31" s="182" t="s">
        <v>32</v>
      </c>
      <c r="D31" s="594" t="str">
        <f>IF(E31='Parametre - Agendové IS'!H134,"OK","Chyba")</f>
        <v>OK</v>
      </c>
      <c r="E31" s="595">
        <f t="shared" si="0"/>
        <v>0</v>
      </c>
      <c r="F31" s="251"/>
      <c r="G31" s="251"/>
      <c r="H31" s="251"/>
      <c r="I31" s="251"/>
    </row>
    <row r="32" spans="1:9" x14ac:dyDescent="0.25">
      <c r="A32" s="795"/>
      <c r="B32" s="798"/>
      <c r="C32" s="182" t="s">
        <v>33</v>
      </c>
      <c r="D32" s="594" t="str">
        <f>IF(E32='Parametre - Agendové IS'!H135,"OK","Chyba")</f>
        <v>OK</v>
      </c>
      <c r="E32" s="595">
        <f t="shared" si="0"/>
        <v>0</v>
      </c>
      <c r="F32" s="251"/>
      <c r="G32" s="251"/>
      <c r="H32" s="251"/>
      <c r="I32" s="251"/>
    </row>
    <row r="33" spans="1:9" ht="15.75" thickBot="1" x14ac:dyDescent="0.3">
      <c r="A33" s="796"/>
      <c r="B33" s="799"/>
      <c r="C33" s="183" t="s">
        <v>34</v>
      </c>
      <c r="D33" s="594" t="str">
        <f>IF(E33='Parametre - Agendové IS'!H136,"OK","Chyba")</f>
        <v>OK</v>
      </c>
      <c r="E33" s="595">
        <f t="shared" si="0"/>
        <v>0</v>
      </c>
      <c r="F33" s="251"/>
      <c r="G33" s="251"/>
      <c r="H33" s="251"/>
      <c r="I33" s="251"/>
    </row>
    <row r="34" spans="1:9" x14ac:dyDescent="0.25">
      <c r="A34" s="179"/>
      <c r="B34" s="180"/>
      <c r="E34" s="181"/>
    </row>
    <row r="35" spans="1:9" x14ac:dyDescent="0.25">
      <c r="A35" s="179"/>
      <c r="B35" s="180"/>
      <c r="E35" s="181"/>
    </row>
    <row r="36" spans="1:9" ht="15.75" thickBot="1" x14ac:dyDescent="0.3">
      <c r="A36" s="179"/>
      <c r="B36" s="180"/>
      <c r="E36" s="181"/>
    </row>
    <row r="37" spans="1:9" x14ac:dyDescent="0.25">
      <c r="A37" s="800" t="str">
        <f>'Parametre - Agendové IS'!J1</f>
        <v>Modul 2</v>
      </c>
      <c r="B37" s="801"/>
      <c r="C37" s="802"/>
      <c r="D37" s="806" t="s">
        <v>105</v>
      </c>
      <c r="E37" s="807"/>
      <c r="F37" s="363" t="s">
        <v>173</v>
      </c>
      <c r="G37" s="363" t="s">
        <v>174</v>
      </c>
      <c r="H37" s="363" t="s">
        <v>175</v>
      </c>
      <c r="I37" s="363" t="s">
        <v>177</v>
      </c>
    </row>
    <row r="38" spans="1:9" ht="15.75" thickBot="1" x14ac:dyDescent="0.3">
      <c r="A38" s="803"/>
      <c r="B38" s="804"/>
      <c r="C38" s="805"/>
      <c r="D38" s="590" t="s">
        <v>378</v>
      </c>
      <c r="E38" s="591" t="s">
        <v>176</v>
      </c>
      <c r="F38" s="184" t="s">
        <v>176</v>
      </c>
      <c r="G38" s="184" t="s">
        <v>176</v>
      </c>
      <c r="H38" s="184" t="s">
        <v>176</v>
      </c>
      <c r="I38" s="184" t="s">
        <v>176</v>
      </c>
    </row>
    <row r="39" spans="1:9" x14ac:dyDescent="0.25">
      <c r="A39" s="794" t="s">
        <v>43</v>
      </c>
      <c r="B39" s="797" t="s">
        <v>194</v>
      </c>
      <c r="C39" s="185" t="s">
        <v>25</v>
      </c>
      <c r="D39" s="592" t="str">
        <f>IF(E39='Parametre - Agendové IS'!K87,"OK","Chyba počtu FTE")</f>
        <v>OK</v>
      </c>
      <c r="E39" s="593">
        <f t="shared" ref="E39:E68" si="1">F39+G39+H39+I39</f>
        <v>0</v>
      </c>
      <c r="F39" s="250"/>
      <c r="G39" s="250"/>
      <c r="H39" s="250"/>
      <c r="I39" s="250"/>
    </row>
    <row r="40" spans="1:9" x14ac:dyDescent="0.25">
      <c r="A40" s="795"/>
      <c r="B40" s="798"/>
      <c r="C40" s="182" t="s">
        <v>26</v>
      </c>
      <c r="D40" s="594" t="str">
        <f>IF(E40='Parametre - Agendové IS'!K88,"OK","Chyba počtu FTE")</f>
        <v>OK</v>
      </c>
      <c r="E40" s="595">
        <f t="shared" si="1"/>
        <v>0</v>
      </c>
      <c r="F40" s="251"/>
      <c r="G40" s="251"/>
      <c r="H40" s="251"/>
      <c r="I40" s="251"/>
    </row>
    <row r="41" spans="1:9" x14ac:dyDescent="0.25">
      <c r="A41" s="795"/>
      <c r="B41" s="798"/>
      <c r="C41" s="182" t="s">
        <v>27</v>
      </c>
      <c r="D41" s="594" t="str">
        <f>IF(E41='Parametre - Agendové IS'!K89,"OK","Chyba počtu FTE")</f>
        <v>OK</v>
      </c>
      <c r="E41" s="595">
        <f t="shared" si="1"/>
        <v>0</v>
      </c>
      <c r="F41" s="251"/>
      <c r="G41" s="251"/>
      <c r="H41" s="251"/>
      <c r="I41" s="251"/>
    </row>
    <row r="42" spans="1:9" x14ac:dyDescent="0.25">
      <c r="A42" s="795"/>
      <c r="B42" s="798"/>
      <c r="C42" s="182" t="s">
        <v>28</v>
      </c>
      <c r="D42" s="594" t="str">
        <f>IF(E42='Parametre - Agendové IS'!K90,"OK","Chyba počtu FTE")</f>
        <v>OK</v>
      </c>
      <c r="E42" s="595">
        <f t="shared" si="1"/>
        <v>0</v>
      </c>
      <c r="F42" s="251"/>
      <c r="G42" s="251"/>
      <c r="H42" s="251"/>
      <c r="I42" s="251"/>
    </row>
    <row r="43" spans="1:9" x14ac:dyDescent="0.25">
      <c r="A43" s="795"/>
      <c r="B43" s="798"/>
      <c r="C43" s="182" t="s">
        <v>29</v>
      </c>
      <c r="D43" s="594" t="str">
        <f>IF(E43='Parametre - Agendové IS'!K91,"OK","Chyba počtu FTE")</f>
        <v>OK</v>
      </c>
      <c r="E43" s="595">
        <f t="shared" si="1"/>
        <v>0</v>
      </c>
      <c r="F43" s="251"/>
      <c r="G43" s="251"/>
      <c r="H43" s="251"/>
      <c r="I43" s="251"/>
    </row>
    <row r="44" spans="1:9" ht="15" customHeight="1" x14ac:dyDescent="0.25">
      <c r="A44" s="795"/>
      <c r="B44" s="798"/>
      <c r="C44" s="182" t="s">
        <v>30</v>
      </c>
      <c r="D44" s="594" t="str">
        <f>IF(E44='Parametre - Agendové IS'!K92,"OK","Chyba počtu FTE")</f>
        <v>OK</v>
      </c>
      <c r="E44" s="595">
        <f t="shared" si="1"/>
        <v>0</v>
      </c>
      <c r="F44" s="251"/>
      <c r="G44" s="251"/>
      <c r="H44" s="251"/>
      <c r="I44" s="251"/>
    </row>
    <row r="45" spans="1:9" x14ac:dyDescent="0.25">
      <c r="A45" s="795"/>
      <c r="B45" s="798"/>
      <c r="C45" s="182" t="s">
        <v>31</v>
      </c>
      <c r="D45" s="594" t="str">
        <f>IF(E45='Parametre - Agendové IS'!K93,"OK","Chyba počtu FTE")</f>
        <v>OK</v>
      </c>
      <c r="E45" s="595">
        <f t="shared" si="1"/>
        <v>0</v>
      </c>
      <c r="F45" s="251"/>
      <c r="G45" s="251"/>
      <c r="H45" s="251"/>
      <c r="I45" s="251"/>
    </row>
    <row r="46" spans="1:9" x14ac:dyDescent="0.25">
      <c r="A46" s="795"/>
      <c r="B46" s="798"/>
      <c r="C46" s="182" t="s">
        <v>32</v>
      </c>
      <c r="D46" s="594" t="str">
        <f>IF(E46='Parametre - Agendové IS'!K94,"OK","Chyba počtu FTE")</f>
        <v>OK</v>
      </c>
      <c r="E46" s="595">
        <f t="shared" si="1"/>
        <v>0</v>
      </c>
      <c r="F46" s="251"/>
      <c r="G46" s="251"/>
      <c r="H46" s="251"/>
      <c r="I46" s="251"/>
    </row>
    <row r="47" spans="1:9" x14ac:dyDescent="0.25">
      <c r="A47" s="795"/>
      <c r="B47" s="798"/>
      <c r="C47" s="182" t="s">
        <v>33</v>
      </c>
      <c r="D47" s="594" t="str">
        <f>IF(E47='Parametre - Agendové IS'!K95,"OK","Chyba počtu FTE")</f>
        <v>OK</v>
      </c>
      <c r="E47" s="595">
        <f t="shared" si="1"/>
        <v>0</v>
      </c>
      <c r="F47" s="251"/>
      <c r="G47" s="251"/>
      <c r="H47" s="251"/>
      <c r="I47" s="251"/>
    </row>
    <row r="48" spans="1:9" ht="15.75" thickBot="1" x14ac:dyDescent="0.3">
      <c r="A48" s="795"/>
      <c r="B48" s="798"/>
      <c r="C48" s="182" t="s">
        <v>34</v>
      </c>
      <c r="D48" s="596" t="str">
        <f>IF(E48='Parametre - Agendové IS'!K96,"OK","Chyba počtu FTE")</f>
        <v>OK</v>
      </c>
      <c r="E48" s="597">
        <f t="shared" si="1"/>
        <v>0</v>
      </c>
      <c r="F48" s="252"/>
      <c r="G48" s="252"/>
      <c r="H48" s="252"/>
      <c r="I48" s="252"/>
    </row>
    <row r="49" spans="1:9" x14ac:dyDescent="0.25">
      <c r="A49" s="794" t="s">
        <v>41</v>
      </c>
      <c r="B49" s="797" t="s">
        <v>37</v>
      </c>
      <c r="C49" s="185" t="s">
        <v>25</v>
      </c>
      <c r="D49" s="593" t="str">
        <f>IF(E49='Parametre - Agendové IS'!K6,"OK","Chyba počtu podaní")</f>
        <v>Chyba počtu podaní</v>
      </c>
      <c r="E49" s="598">
        <f t="shared" si="1"/>
        <v>0</v>
      </c>
      <c r="F49" s="250"/>
      <c r="G49" s="250"/>
      <c r="H49" s="250"/>
      <c r="I49" s="250"/>
    </row>
    <row r="50" spans="1:9" x14ac:dyDescent="0.25">
      <c r="A50" s="795"/>
      <c r="B50" s="798"/>
      <c r="C50" s="182" t="s">
        <v>26</v>
      </c>
      <c r="D50" s="594" t="str">
        <f>IF(E50='Parametre - Agendové IS'!K7,"OK","Chyba počtu podaní")</f>
        <v>Chyba počtu podaní</v>
      </c>
      <c r="E50" s="595">
        <f t="shared" si="1"/>
        <v>0</v>
      </c>
      <c r="F50" s="251"/>
      <c r="G50" s="251"/>
      <c r="H50" s="251"/>
      <c r="I50" s="251"/>
    </row>
    <row r="51" spans="1:9" x14ac:dyDescent="0.25">
      <c r="A51" s="795"/>
      <c r="B51" s="798"/>
      <c r="C51" s="182" t="s">
        <v>27</v>
      </c>
      <c r="D51" s="594" t="str">
        <f>IF(E51='Parametre - Agendové IS'!K8,"OK","Chyba počtu podaní")</f>
        <v>Chyba počtu podaní</v>
      </c>
      <c r="E51" s="595">
        <f t="shared" si="1"/>
        <v>0</v>
      </c>
      <c r="F51" s="251"/>
      <c r="G51" s="251"/>
      <c r="H51" s="251"/>
      <c r="I51" s="251"/>
    </row>
    <row r="52" spans="1:9" x14ac:dyDescent="0.25">
      <c r="A52" s="795"/>
      <c r="B52" s="798"/>
      <c r="C52" s="182" t="s">
        <v>28</v>
      </c>
      <c r="D52" s="594" t="str">
        <f>IF(E52='Parametre - Agendové IS'!K9,"OK","Chyba počtu podaní")</f>
        <v>Chyba počtu podaní</v>
      </c>
      <c r="E52" s="595">
        <f t="shared" si="1"/>
        <v>0</v>
      </c>
      <c r="F52" s="251"/>
      <c r="G52" s="251"/>
      <c r="H52" s="251"/>
      <c r="I52" s="251"/>
    </row>
    <row r="53" spans="1:9" x14ac:dyDescent="0.25">
      <c r="A53" s="795"/>
      <c r="B53" s="798"/>
      <c r="C53" s="182" t="s">
        <v>29</v>
      </c>
      <c r="D53" s="594" t="str">
        <f>IF(E53='Parametre - Agendové IS'!K10,"OK","Chyba počtu podaní")</f>
        <v>Chyba počtu podaní</v>
      </c>
      <c r="E53" s="595">
        <f t="shared" si="1"/>
        <v>0</v>
      </c>
      <c r="F53" s="251"/>
      <c r="G53" s="251"/>
      <c r="H53" s="251"/>
      <c r="I53" s="251"/>
    </row>
    <row r="54" spans="1:9" x14ac:dyDescent="0.25">
      <c r="A54" s="795"/>
      <c r="B54" s="798"/>
      <c r="C54" s="182" t="s">
        <v>30</v>
      </c>
      <c r="D54" s="594" t="str">
        <f>IF(E54='Parametre - Agendové IS'!K11,"OK","Chyba počtu podaní")</f>
        <v>Chyba počtu podaní</v>
      </c>
      <c r="E54" s="595">
        <f t="shared" si="1"/>
        <v>0</v>
      </c>
      <c r="F54" s="251"/>
      <c r="G54" s="251"/>
      <c r="H54" s="251"/>
      <c r="I54" s="251"/>
    </row>
    <row r="55" spans="1:9" x14ac:dyDescent="0.25">
      <c r="A55" s="795"/>
      <c r="B55" s="798"/>
      <c r="C55" s="182" t="s">
        <v>31</v>
      </c>
      <c r="D55" s="594" t="str">
        <f>IF(E55='Parametre - Agendové IS'!K12,"OK","Chyba počtu podaní")</f>
        <v>Chyba počtu podaní</v>
      </c>
      <c r="E55" s="595">
        <f t="shared" si="1"/>
        <v>0</v>
      </c>
      <c r="F55" s="251"/>
      <c r="G55" s="251"/>
      <c r="H55" s="251"/>
      <c r="I55" s="251"/>
    </row>
    <row r="56" spans="1:9" x14ac:dyDescent="0.25">
      <c r="A56" s="795"/>
      <c r="B56" s="798"/>
      <c r="C56" s="182" t="s">
        <v>32</v>
      </c>
      <c r="D56" s="594" t="str">
        <f>IF(E56='Parametre - Agendové IS'!K13,"OK","Chyba počtu podaní")</f>
        <v>Chyba počtu podaní</v>
      </c>
      <c r="E56" s="595">
        <f t="shared" si="1"/>
        <v>0</v>
      </c>
      <c r="F56" s="251"/>
      <c r="G56" s="251"/>
      <c r="H56" s="251"/>
      <c r="I56" s="251"/>
    </row>
    <row r="57" spans="1:9" x14ac:dyDescent="0.25">
      <c r="A57" s="795"/>
      <c r="B57" s="798"/>
      <c r="C57" s="182" t="s">
        <v>33</v>
      </c>
      <c r="D57" s="594" t="str">
        <f>IF(E57='Parametre - Agendové IS'!K14,"OK","Chyba počtu podaní")</f>
        <v>Chyba počtu podaní</v>
      </c>
      <c r="E57" s="595">
        <f t="shared" si="1"/>
        <v>0</v>
      </c>
      <c r="F57" s="251"/>
      <c r="G57" s="251"/>
      <c r="H57" s="251"/>
      <c r="I57" s="251"/>
    </row>
    <row r="58" spans="1:9" ht="15.75" thickBot="1" x14ac:dyDescent="0.3">
      <c r="A58" s="796"/>
      <c r="B58" s="799"/>
      <c r="C58" s="183" t="s">
        <v>34</v>
      </c>
      <c r="D58" s="594" t="str">
        <f>IF(E58='Parametre - Agendové IS'!K15,"OK","Chyba počtu podaní")</f>
        <v>Chyba počtu podaní</v>
      </c>
      <c r="E58" s="595">
        <f t="shared" si="1"/>
        <v>0</v>
      </c>
      <c r="F58" s="251"/>
      <c r="G58" s="251"/>
      <c r="H58" s="251"/>
      <c r="I58" s="251"/>
    </row>
    <row r="59" spans="1:9" x14ac:dyDescent="0.25">
      <c r="A59" s="794" t="s">
        <v>39</v>
      </c>
      <c r="B59" s="797" t="s">
        <v>13</v>
      </c>
      <c r="C59" s="185" t="s">
        <v>25</v>
      </c>
      <c r="D59" s="593" t="str">
        <f>IF(E59='Parametre - Agendové IS'!K127,"OK","Chyba")</f>
        <v>OK</v>
      </c>
      <c r="E59" s="598">
        <f t="shared" si="1"/>
        <v>0</v>
      </c>
      <c r="F59" s="250"/>
      <c r="G59" s="250"/>
      <c r="H59" s="250"/>
      <c r="I59" s="250"/>
    </row>
    <row r="60" spans="1:9" x14ac:dyDescent="0.25">
      <c r="A60" s="795"/>
      <c r="B60" s="798"/>
      <c r="C60" s="182" t="s">
        <v>26</v>
      </c>
      <c r="D60" s="594" t="str">
        <f>IF(E60='Parametre - Agendové IS'!K128,"OK","Chyba")</f>
        <v>OK</v>
      </c>
      <c r="E60" s="595">
        <f t="shared" si="1"/>
        <v>0</v>
      </c>
      <c r="F60" s="251"/>
      <c r="G60" s="251"/>
      <c r="H60" s="251"/>
      <c r="I60" s="251"/>
    </row>
    <row r="61" spans="1:9" x14ac:dyDescent="0.25">
      <c r="A61" s="795"/>
      <c r="B61" s="798"/>
      <c r="C61" s="182" t="s">
        <v>27</v>
      </c>
      <c r="D61" s="594" t="str">
        <f>IF(E61='Parametre - Agendové IS'!K129,"OK","Chyba")</f>
        <v>OK</v>
      </c>
      <c r="E61" s="595">
        <f t="shared" si="1"/>
        <v>0</v>
      </c>
      <c r="F61" s="251"/>
      <c r="G61" s="251"/>
      <c r="H61" s="251"/>
      <c r="I61" s="251"/>
    </row>
    <row r="62" spans="1:9" x14ac:dyDescent="0.25">
      <c r="A62" s="795"/>
      <c r="B62" s="798"/>
      <c r="C62" s="182" t="s">
        <v>28</v>
      </c>
      <c r="D62" s="594" t="str">
        <f>IF(E62='Parametre - Agendové IS'!K130,"OK","Chyba")</f>
        <v>OK</v>
      </c>
      <c r="E62" s="595">
        <f t="shared" si="1"/>
        <v>0</v>
      </c>
      <c r="F62" s="251"/>
      <c r="G62" s="251"/>
      <c r="H62" s="251"/>
      <c r="I62" s="251"/>
    </row>
    <row r="63" spans="1:9" x14ac:dyDescent="0.25">
      <c r="A63" s="795"/>
      <c r="B63" s="798"/>
      <c r="C63" s="182" t="s">
        <v>29</v>
      </c>
      <c r="D63" s="594" t="str">
        <f>IF(E63='Parametre - Agendové IS'!K131,"OK","Chyba")</f>
        <v>OK</v>
      </c>
      <c r="E63" s="595">
        <f t="shared" si="1"/>
        <v>0</v>
      </c>
      <c r="F63" s="251"/>
      <c r="G63" s="251"/>
      <c r="H63" s="251"/>
      <c r="I63" s="251"/>
    </row>
    <row r="64" spans="1:9" x14ac:dyDescent="0.25">
      <c r="A64" s="795"/>
      <c r="B64" s="798"/>
      <c r="C64" s="182" t="s">
        <v>30</v>
      </c>
      <c r="D64" s="594" t="str">
        <f>IF(E64='Parametre - Agendové IS'!K132,"OK","Chyba")</f>
        <v>OK</v>
      </c>
      <c r="E64" s="595">
        <f t="shared" si="1"/>
        <v>0</v>
      </c>
      <c r="F64" s="251"/>
      <c r="G64" s="251"/>
      <c r="H64" s="251"/>
      <c r="I64" s="251"/>
    </row>
    <row r="65" spans="1:9" x14ac:dyDescent="0.25">
      <c r="A65" s="795"/>
      <c r="B65" s="798"/>
      <c r="C65" s="182" t="s">
        <v>31</v>
      </c>
      <c r="D65" s="594" t="str">
        <f>IF(E65='Parametre - Agendové IS'!K133,"OK","Chyba")</f>
        <v>OK</v>
      </c>
      <c r="E65" s="595">
        <f t="shared" si="1"/>
        <v>0</v>
      </c>
      <c r="F65" s="251"/>
      <c r="G65" s="251"/>
      <c r="H65" s="251"/>
      <c r="I65" s="251"/>
    </row>
    <row r="66" spans="1:9" x14ac:dyDescent="0.25">
      <c r="A66" s="795"/>
      <c r="B66" s="798"/>
      <c r="C66" s="182" t="s">
        <v>32</v>
      </c>
      <c r="D66" s="594" t="str">
        <f>IF(E66='Parametre - Agendové IS'!K134,"OK","Chyba")</f>
        <v>OK</v>
      </c>
      <c r="E66" s="595">
        <f t="shared" si="1"/>
        <v>0</v>
      </c>
      <c r="F66" s="251"/>
      <c r="G66" s="251"/>
      <c r="H66" s="251"/>
      <c r="I66" s="251"/>
    </row>
    <row r="67" spans="1:9" x14ac:dyDescent="0.25">
      <c r="A67" s="795"/>
      <c r="B67" s="798"/>
      <c r="C67" s="182" t="s">
        <v>33</v>
      </c>
      <c r="D67" s="594" t="str">
        <f>IF(E67='Parametre - Agendové IS'!K135,"OK","Chyba")</f>
        <v>OK</v>
      </c>
      <c r="E67" s="595">
        <f t="shared" si="1"/>
        <v>0</v>
      </c>
      <c r="F67" s="251"/>
      <c r="G67" s="251"/>
      <c r="H67" s="251"/>
      <c r="I67" s="251"/>
    </row>
    <row r="68" spans="1:9" ht="15.75" thickBot="1" x14ac:dyDescent="0.3">
      <c r="A68" s="796"/>
      <c r="B68" s="799"/>
      <c r="C68" s="183" t="s">
        <v>34</v>
      </c>
      <c r="D68" s="594" t="str">
        <f>IF(E68='Parametre - Agendové IS'!K136,"OK","Chyba")</f>
        <v>OK</v>
      </c>
      <c r="E68" s="595">
        <f t="shared" si="1"/>
        <v>0</v>
      </c>
      <c r="F68" s="251"/>
      <c r="G68" s="251"/>
      <c r="H68" s="251"/>
      <c r="I68" s="251"/>
    </row>
    <row r="71" spans="1:9" ht="15.75" thickBot="1" x14ac:dyDescent="0.3"/>
    <row r="72" spans="1:9" x14ac:dyDescent="0.25">
      <c r="A72" s="800" t="str">
        <f>'Parametre - Agendové IS'!M1</f>
        <v>Modul 3</v>
      </c>
      <c r="B72" s="801"/>
      <c r="C72" s="802"/>
      <c r="D72" s="806" t="s">
        <v>105</v>
      </c>
      <c r="E72" s="807"/>
      <c r="F72" s="363" t="s">
        <v>173</v>
      </c>
      <c r="G72" s="363" t="s">
        <v>174</v>
      </c>
      <c r="H72" s="363" t="s">
        <v>175</v>
      </c>
      <c r="I72" s="363" t="s">
        <v>177</v>
      </c>
    </row>
    <row r="73" spans="1:9" ht="15.75" thickBot="1" x14ac:dyDescent="0.3">
      <c r="A73" s="803"/>
      <c r="B73" s="804"/>
      <c r="C73" s="805"/>
      <c r="D73" s="590" t="s">
        <v>378</v>
      </c>
      <c r="E73" s="591" t="s">
        <v>176</v>
      </c>
      <c r="F73" s="184" t="s">
        <v>176</v>
      </c>
      <c r="G73" s="184" t="s">
        <v>176</v>
      </c>
      <c r="H73" s="184" t="s">
        <v>176</v>
      </c>
      <c r="I73" s="184" t="s">
        <v>176</v>
      </c>
    </row>
    <row r="74" spans="1:9" x14ac:dyDescent="0.25">
      <c r="A74" s="794" t="s">
        <v>43</v>
      </c>
      <c r="B74" s="797" t="s">
        <v>194</v>
      </c>
      <c r="C74" s="185" t="s">
        <v>25</v>
      </c>
      <c r="D74" s="592" t="str">
        <f>IF(E74='Parametre - Agendové IS'!N87,"OK","Chyba počtu FTE")</f>
        <v>OK</v>
      </c>
      <c r="E74" s="593">
        <f t="shared" ref="E74:E103" si="2">F74+G74+H74+I74</f>
        <v>0</v>
      </c>
      <c r="F74" s="250"/>
      <c r="G74" s="250"/>
      <c r="H74" s="250"/>
      <c r="I74" s="250"/>
    </row>
    <row r="75" spans="1:9" x14ac:dyDescent="0.25">
      <c r="A75" s="795"/>
      <c r="B75" s="798"/>
      <c r="C75" s="182" t="s">
        <v>26</v>
      </c>
      <c r="D75" s="594" t="str">
        <f>IF(E75='Parametre - Agendové IS'!N88,"OK","Chyba počtu FTE")</f>
        <v>OK</v>
      </c>
      <c r="E75" s="595">
        <f t="shared" si="2"/>
        <v>0</v>
      </c>
      <c r="F75" s="251"/>
      <c r="G75" s="251"/>
      <c r="H75" s="251"/>
      <c r="I75" s="251"/>
    </row>
    <row r="76" spans="1:9" x14ac:dyDescent="0.25">
      <c r="A76" s="795"/>
      <c r="B76" s="798"/>
      <c r="C76" s="182" t="s">
        <v>27</v>
      </c>
      <c r="D76" s="594" t="str">
        <f>IF(E76='Parametre - Agendové IS'!N89,"OK","Chyba počtu FTE")</f>
        <v>OK</v>
      </c>
      <c r="E76" s="595">
        <f t="shared" si="2"/>
        <v>0</v>
      </c>
      <c r="F76" s="251"/>
      <c r="G76" s="251"/>
      <c r="H76" s="251"/>
      <c r="I76" s="251"/>
    </row>
    <row r="77" spans="1:9" x14ac:dyDescent="0.25">
      <c r="A77" s="795"/>
      <c r="B77" s="798"/>
      <c r="C77" s="182" t="s">
        <v>28</v>
      </c>
      <c r="D77" s="594" t="str">
        <f>IF(E77='Parametre - Agendové IS'!N90,"OK","Chyba počtu FTE")</f>
        <v>OK</v>
      </c>
      <c r="E77" s="595">
        <f t="shared" si="2"/>
        <v>0</v>
      </c>
      <c r="F77" s="251"/>
      <c r="G77" s="251"/>
      <c r="H77" s="251"/>
      <c r="I77" s="251"/>
    </row>
    <row r="78" spans="1:9" x14ac:dyDescent="0.25">
      <c r="A78" s="795"/>
      <c r="B78" s="798"/>
      <c r="C78" s="182" t="s">
        <v>29</v>
      </c>
      <c r="D78" s="594" t="str">
        <f>IF(E78='Parametre - Agendové IS'!N91,"OK","Chyba počtu FTE")</f>
        <v>OK</v>
      </c>
      <c r="E78" s="595">
        <f t="shared" si="2"/>
        <v>0</v>
      </c>
      <c r="F78" s="251"/>
      <c r="G78" s="251"/>
      <c r="H78" s="251"/>
      <c r="I78" s="251"/>
    </row>
    <row r="79" spans="1:9" x14ac:dyDescent="0.25">
      <c r="A79" s="795"/>
      <c r="B79" s="798"/>
      <c r="C79" s="182" t="s">
        <v>30</v>
      </c>
      <c r="D79" s="594" t="str">
        <f>IF(E79='Parametre - Agendové IS'!N92,"OK","Chyba počtu FTE")</f>
        <v>OK</v>
      </c>
      <c r="E79" s="595">
        <f t="shared" si="2"/>
        <v>0</v>
      </c>
      <c r="F79" s="251"/>
      <c r="G79" s="251"/>
      <c r="H79" s="251"/>
      <c r="I79" s="251"/>
    </row>
    <row r="80" spans="1:9" x14ac:dyDescent="0.25">
      <c r="A80" s="795"/>
      <c r="B80" s="798"/>
      <c r="C80" s="182" t="s">
        <v>31</v>
      </c>
      <c r="D80" s="594" t="str">
        <f>IF(E80='Parametre - Agendové IS'!N93,"OK","Chyba počtu FTE")</f>
        <v>OK</v>
      </c>
      <c r="E80" s="595">
        <f t="shared" si="2"/>
        <v>0</v>
      </c>
      <c r="F80" s="251"/>
      <c r="G80" s="251"/>
      <c r="H80" s="251"/>
      <c r="I80" s="251"/>
    </row>
    <row r="81" spans="1:9" x14ac:dyDescent="0.25">
      <c r="A81" s="795"/>
      <c r="B81" s="798"/>
      <c r="C81" s="182" t="s">
        <v>32</v>
      </c>
      <c r="D81" s="594" t="str">
        <f>IF(E81='Parametre - Agendové IS'!N94,"OK","Chyba počtu FTE")</f>
        <v>OK</v>
      </c>
      <c r="E81" s="595">
        <f t="shared" si="2"/>
        <v>0</v>
      </c>
      <c r="F81" s="251"/>
      <c r="G81" s="251"/>
      <c r="H81" s="251"/>
      <c r="I81" s="251"/>
    </row>
    <row r="82" spans="1:9" x14ac:dyDescent="0.25">
      <c r="A82" s="795"/>
      <c r="B82" s="798"/>
      <c r="C82" s="182" t="s">
        <v>33</v>
      </c>
      <c r="D82" s="594" t="str">
        <f>IF(E82='Parametre - Agendové IS'!N95,"OK","Chyba počtu FTE")</f>
        <v>OK</v>
      </c>
      <c r="E82" s="595">
        <f t="shared" si="2"/>
        <v>0</v>
      </c>
      <c r="F82" s="251"/>
      <c r="G82" s="251"/>
      <c r="H82" s="251"/>
      <c r="I82" s="251"/>
    </row>
    <row r="83" spans="1:9" ht="15.75" thickBot="1" x14ac:dyDescent="0.3">
      <c r="A83" s="795"/>
      <c r="B83" s="798"/>
      <c r="C83" s="182" t="s">
        <v>34</v>
      </c>
      <c r="D83" s="596" t="str">
        <f>IF(E83='Parametre - Agendové IS'!N96,"OK","Chyba počtu FTE")</f>
        <v>OK</v>
      </c>
      <c r="E83" s="597">
        <f t="shared" si="2"/>
        <v>0</v>
      </c>
      <c r="F83" s="252"/>
      <c r="G83" s="252"/>
      <c r="H83" s="252"/>
      <c r="I83" s="252"/>
    </row>
    <row r="84" spans="1:9" x14ac:dyDescent="0.25">
      <c r="A84" s="794" t="s">
        <v>41</v>
      </c>
      <c r="B84" s="797" t="s">
        <v>37</v>
      </c>
      <c r="C84" s="185" t="s">
        <v>25</v>
      </c>
      <c r="D84" s="593" t="str">
        <f>IF(E84='Parametre - Agendové IS'!N6,"OK","Chyba počtu podaní")</f>
        <v>OK</v>
      </c>
      <c r="E84" s="598">
        <f t="shared" si="2"/>
        <v>0</v>
      </c>
      <c r="F84" s="250"/>
      <c r="G84" s="250"/>
      <c r="H84" s="250"/>
      <c r="I84" s="250"/>
    </row>
    <row r="85" spans="1:9" x14ac:dyDescent="0.25">
      <c r="A85" s="795"/>
      <c r="B85" s="798"/>
      <c r="C85" s="182" t="s">
        <v>26</v>
      </c>
      <c r="D85" s="594" t="str">
        <f>IF(E85='Parametre - Agendové IS'!N7,"OK","Chyba počtu podaní")</f>
        <v>OK</v>
      </c>
      <c r="E85" s="595">
        <f t="shared" si="2"/>
        <v>0</v>
      </c>
      <c r="F85" s="251"/>
      <c r="G85" s="251"/>
      <c r="H85" s="251"/>
      <c r="I85" s="251"/>
    </row>
    <row r="86" spans="1:9" x14ac:dyDescent="0.25">
      <c r="A86" s="795"/>
      <c r="B86" s="798"/>
      <c r="C86" s="182" t="s">
        <v>27</v>
      </c>
      <c r="D86" s="594" t="str">
        <f>IF(E86='Parametre - Agendové IS'!N8,"OK","Chyba počtu podaní")</f>
        <v>Chyba počtu podaní</v>
      </c>
      <c r="E86" s="595">
        <f t="shared" si="2"/>
        <v>0</v>
      </c>
      <c r="F86" s="251"/>
      <c r="G86" s="251"/>
      <c r="H86" s="251"/>
      <c r="I86" s="251"/>
    </row>
    <row r="87" spans="1:9" x14ac:dyDescent="0.25">
      <c r="A87" s="795"/>
      <c r="B87" s="798"/>
      <c r="C87" s="182" t="s">
        <v>28</v>
      </c>
      <c r="D87" s="594" t="str">
        <f>IF(E87='Parametre - Agendové IS'!N9,"OK","Chyba počtu podaní")</f>
        <v>Chyba počtu podaní</v>
      </c>
      <c r="E87" s="595">
        <f t="shared" si="2"/>
        <v>0</v>
      </c>
      <c r="F87" s="251"/>
      <c r="G87" s="251"/>
      <c r="H87" s="251"/>
      <c r="I87" s="251"/>
    </row>
    <row r="88" spans="1:9" x14ac:dyDescent="0.25">
      <c r="A88" s="795"/>
      <c r="B88" s="798"/>
      <c r="C88" s="182" t="s">
        <v>29</v>
      </c>
      <c r="D88" s="594" t="str">
        <f>IF(E88='Parametre - Agendové IS'!N10,"OK","Chyba počtu podaní")</f>
        <v>Chyba počtu podaní</v>
      </c>
      <c r="E88" s="595">
        <f t="shared" si="2"/>
        <v>0</v>
      </c>
      <c r="F88" s="251"/>
      <c r="G88" s="251"/>
      <c r="H88" s="251"/>
      <c r="I88" s="251"/>
    </row>
    <row r="89" spans="1:9" x14ac:dyDescent="0.25">
      <c r="A89" s="795"/>
      <c r="B89" s="798"/>
      <c r="C89" s="182" t="s">
        <v>30</v>
      </c>
      <c r="D89" s="594" t="str">
        <f>IF(E89='Parametre - Agendové IS'!N11,"OK","Chyba počtu podaní")</f>
        <v>Chyba počtu podaní</v>
      </c>
      <c r="E89" s="595">
        <f t="shared" si="2"/>
        <v>0</v>
      </c>
      <c r="F89" s="251"/>
      <c r="G89" s="251"/>
      <c r="H89" s="251"/>
      <c r="I89" s="251"/>
    </row>
    <row r="90" spans="1:9" x14ac:dyDescent="0.25">
      <c r="A90" s="795"/>
      <c r="B90" s="798"/>
      <c r="C90" s="182" t="s">
        <v>31</v>
      </c>
      <c r="D90" s="594" t="str">
        <f>IF(E90='Parametre - Agendové IS'!N12,"OK","Chyba počtu podaní")</f>
        <v>Chyba počtu podaní</v>
      </c>
      <c r="E90" s="595">
        <f t="shared" si="2"/>
        <v>0</v>
      </c>
      <c r="F90" s="251"/>
      <c r="G90" s="251"/>
      <c r="H90" s="251"/>
      <c r="I90" s="251"/>
    </row>
    <row r="91" spans="1:9" x14ac:dyDescent="0.25">
      <c r="A91" s="795"/>
      <c r="B91" s="798"/>
      <c r="C91" s="182" t="s">
        <v>32</v>
      </c>
      <c r="D91" s="594" t="str">
        <f>IF(E91='Parametre - Agendové IS'!N13,"OK","Chyba počtu podaní")</f>
        <v>Chyba počtu podaní</v>
      </c>
      <c r="E91" s="595">
        <f t="shared" si="2"/>
        <v>0</v>
      </c>
      <c r="F91" s="251"/>
      <c r="G91" s="251"/>
      <c r="H91" s="251"/>
      <c r="I91" s="251"/>
    </row>
    <row r="92" spans="1:9" x14ac:dyDescent="0.25">
      <c r="A92" s="795"/>
      <c r="B92" s="798"/>
      <c r="C92" s="182" t="s">
        <v>33</v>
      </c>
      <c r="D92" s="594" t="str">
        <f>IF(E92='Parametre - Agendové IS'!N14,"OK","Chyba počtu podaní")</f>
        <v>Chyba počtu podaní</v>
      </c>
      <c r="E92" s="595">
        <f t="shared" si="2"/>
        <v>0</v>
      </c>
      <c r="F92" s="251"/>
      <c r="G92" s="251"/>
      <c r="H92" s="251"/>
      <c r="I92" s="251"/>
    </row>
    <row r="93" spans="1:9" ht="15.75" thickBot="1" x14ac:dyDescent="0.3">
      <c r="A93" s="796"/>
      <c r="B93" s="799"/>
      <c r="C93" s="183" t="s">
        <v>34</v>
      </c>
      <c r="D93" s="594" t="str">
        <f>IF(E93='Parametre - Agendové IS'!N15,"OK","Chyba počtu podaní")</f>
        <v>Chyba počtu podaní</v>
      </c>
      <c r="E93" s="595">
        <f t="shared" si="2"/>
        <v>0</v>
      </c>
      <c r="F93" s="251"/>
      <c r="G93" s="251"/>
      <c r="H93" s="251"/>
      <c r="I93" s="251"/>
    </row>
    <row r="94" spans="1:9" x14ac:dyDescent="0.25">
      <c r="A94" s="794" t="s">
        <v>39</v>
      </c>
      <c r="B94" s="797" t="s">
        <v>13</v>
      </c>
      <c r="C94" s="185" t="s">
        <v>25</v>
      </c>
      <c r="D94" s="593" t="str">
        <f>IF(E94='Parametre - Agendové IS'!N127,"OK","Chyba")</f>
        <v>OK</v>
      </c>
      <c r="E94" s="598">
        <f t="shared" si="2"/>
        <v>0</v>
      </c>
      <c r="F94" s="250"/>
      <c r="G94" s="250"/>
      <c r="H94" s="250"/>
      <c r="I94" s="250"/>
    </row>
    <row r="95" spans="1:9" x14ac:dyDescent="0.25">
      <c r="A95" s="795"/>
      <c r="B95" s="798"/>
      <c r="C95" s="182" t="s">
        <v>26</v>
      </c>
      <c r="D95" s="594" t="str">
        <f>IF(E95='Parametre - Agendové IS'!N128,"OK","Chyba")</f>
        <v>OK</v>
      </c>
      <c r="E95" s="595">
        <f t="shared" si="2"/>
        <v>0</v>
      </c>
      <c r="F95" s="251"/>
      <c r="G95" s="251"/>
      <c r="H95" s="251"/>
      <c r="I95" s="251"/>
    </row>
    <row r="96" spans="1:9" x14ac:dyDescent="0.25">
      <c r="A96" s="795"/>
      <c r="B96" s="798"/>
      <c r="C96" s="182" t="s">
        <v>27</v>
      </c>
      <c r="D96" s="594" t="str">
        <f>IF(E96='Parametre - Agendové IS'!N129,"OK","Chyba")</f>
        <v>OK</v>
      </c>
      <c r="E96" s="595">
        <f t="shared" si="2"/>
        <v>0</v>
      </c>
      <c r="F96" s="251"/>
      <c r="G96" s="251"/>
      <c r="H96" s="251"/>
      <c r="I96" s="251"/>
    </row>
    <row r="97" spans="1:9" x14ac:dyDescent="0.25">
      <c r="A97" s="795"/>
      <c r="B97" s="798"/>
      <c r="C97" s="182" t="s">
        <v>28</v>
      </c>
      <c r="D97" s="594" t="str">
        <f>IF(E97='Parametre - Agendové IS'!N130,"OK","Chyba")</f>
        <v>OK</v>
      </c>
      <c r="E97" s="595">
        <f t="shared" si="2"/>
        <v>0</v>
      </c>
      <c r="F97" s="251"/>
      <c r="G97" s="251"/>
      <c r="H97" s="251"/>
      <c r="I97" s="251"/>
    </row>
    <row r="98" spans="1:9" x14ac:dyDescent="0.25">
      <c r="A98" s="795"/>
      <c r="B98" s="798"/>
      <c r="C98" s="182" t="s">
        <v>29</v>
      </c>
      <c r="D98" s="594" t="str">
        <f>IF(E98='Parametre - Agendové IS'!N131,"OK","Chyba")</f>
        <v>OK</v>
      </c>
      <c r="E98" s="595">
        <f t="shared" si="2"/>
        <v>0</v>
      </c>
      <c r="F98" s="251"/>
      <c r="G98" s="251"/>
      <c r="H98" s="251"/>
      <c r="I98" s="251"/>
    </row>
    <row r="99" spans="1:9" x14ac:dyDescent="0.25">
      <c r="A99" s="795"/>
      <c r="B99" s="798"/>
      <c r="C99" s="182" t="s">
        <v>30</v>
      </c>
      <c r="D99" s="594" t="str">
        <f>IF(E99='Parametre - Agendové IS'!N132,"OK","Chyba")</f>
        <v>OK</v>
      </c>
      <c r="E99" s="595">
        <f t="shared" si="2"/>
        <v>0</v>
      </c>
      <c r="F99" s="251"/>
      <c r="G99" s="251"/>
      <c r="H99" s="251"/>
      <c r="I99" s="251"/>
    </row>
    <row r="100" spans="1:9" x14ac:dyDescent="0.25">
      <c r="A100" s="795"/>
      <c r="B100" s="798"/>
      <c r="C100" s="182" t="s">
        <v>31</v>
      </c>
      <c r="D100" s="594" t="str">
        <f>IF(E100='Parametre - Agendové IS'!N133,"OK","Chyba")</f>
        <v>OK</v>
      </c>
      <c r="E100" s="595">
        <f t="shared" si="2"/>
        <v>0</v>
      </c>
      <c r="F100" s="251"/>
      <c r="G100" s="251"/>
      <c r="H100" s="251"/>
      <c r="I100" s="251"/>
    </row>
    <row r="101" spans="1:9" x14ac:dyDescent="0.25">
      <c r="A101" s="795"/>
      <c r="B101" s="798"/>
      <c r="C101" s="182" t="s">
        <v>32</v>
      </c>
      <c r="D101" s="594" t="str">
        <f>IF(E101='Parametre - Agendové IS'!N134,"OK","Chyba")</f>
        <v>OK</v>
      </c>
      <c r="E101" s="595">
        <f t="shared" si="2"/>
        <v>0</v>
      </c>
      <c r="F101" s="251"/>
      <c r="G101" s="251"/>
      <c r="H101" s="251"/>
      <c r="I101" s="251"/>
    </row>
    <row r="102" spans="1:9" x14ac:dyDescent="0.25">
      <c r="A102" s="795"/>
      <c r="B102" s="798"/>
      <c r="C102" s="182" t="s">
        <v>33</v>
      </c>
      <c r="D102" s="594" t="str">
        <f>IF(E102='Parametre - Agendové IS'!N135,"OK","Chyba")</f>
        <v>OK</v>
      </c>
      <c r="E102" s="595">
        <f t="shared" si="2"/>
        <v>0</v>
      </c>
      <c r="F102" s="251"/>
      <c r="G102" s="251"/>
      <c r="H102" s="251"/>
      <c r="I102" s="251"/>
    </row>
    <row r="103" spans="1:9" ht="15.75" thickBot="1" x14ac:dyDescent="0.3">
      <c r="A103" s="796"/>
      <c r="B103" s="799"/>
      <c r="C103" s="183" t="s">
        <v>34</v>
      </c>
      <c r="D103" s="594" t="str">
        <f>IF(E103='Parametre - Agendové IS'!N136,"OK","Chyba")</f>
        <v>OK</v>
      </c>
      <c r="E103" s="595">
        <f t="shared" si="2"/>
        <v>0</v>
      </c>
      <c r="F103" s="251"/>
      <c r="G103" s="251"/>
      <c r="H103" s="251"/>
      <c r="I103" s="251"/>
    </row>
    <row r="106" spans="1:9" ht="15.75" thickBot="1" x14ac:dyDescent="0.3"/>
    <row r="107" spans="1:9" x14ac:dyDescent="0.25">
      <c r="A107" s="800" t="str">
        <f>'Parametre - Agendové IS'!P1</f>
        <v>Modul N</v>
      </c>
      <c r="B107" s="801"/>
      <c r="C107" s="802"/>
      <c r="D107" s="806" t="s">
        <v>105</v>
      </c>
      <c r="E107" s="807"/>
      <c r="F107" s="363" t="s">
        <v>173</v>
      </c>
      <c r="G107" s="363" t="s">
        <v>174</v>
      </c>
      <c r="H107" s="363" t="s">
        <v>175</v>
      </c>
      <c r="I107" s="363" t="s">
        <v>177</v>
      </c>
    </row>
    <row r="108" spans="1:9" ht="15.75" thickBot="1" x14ac:dyDescent="0.3">
      <c r="A108" s="803"/>
      <c r="B108" s="804"/>
      <c r="C108" s="805"/>
      <c r="D108" s="590" t="s">
        <v>378</v>
      </c>
      <c r="E108" s="591" t="s">
        <v>176</v>
      </c>
      <c r="F108" s="184" t="s">
        <v>176</v>
      </c>
      <c r="G108" s="184" t="s">
        <v>176</v>
      </c>
      <c r="H108" s="184" t="s">
        <v>176</v>
      </c>
      <c r="I108" s="184" t="s">
        <v>176</v>
      </c>
    </row>
    <row r="109" spans="1:9" x14ac:dyDescent="0.25">
      <c r="A109" s="794" t="s">
        <v>43</v>
      </c>
      <c r="B109" s="797" t="s">
        <v>194</v>
      </c>
      <c r="C109" s="185" t="s">
        <v>25</v>
      </c>
      <c r="D109" s="592" t="str">
        <f>IF(E109='Parametre - Agendové IS'!Q87,"OK","Chyba počtu FTE")</f>
        <v>Chyba počtu FTE</v>
      </c>
      <c r="E109" s="593">
        <f t="shared" ref="E109:E138" si="3">F109+G109+H109+I109</f>
        <v>0</v>
      </c>
      <c r="F109" s="250"/>
      <c r="G109" s="250"/>
      <c r="H109" s="250"/>
      <c r="I109" s="250"/>
    </row>
    <row r="110" spans="1:9" x14ac:dyDescent="0.25">
      <c r="A110" s="795"/>
      <c r="B110" s="798"/>
      <c r="C110" s="182" t="s">
        <v>26</v>
      </c>
      <c r="D110" s="594" t="str">
        <f>IF(E110='Parametre - Agendové IS'!Q88,"OK","Chyba počtu FTE")</f>
        <v>Chyba počtu FTE</v>
      </c>
      <c r="E110" s="595">
        <f t="shared" si="3"/>
        <v>0</v>
      </c>
      <c r="F110" s="251"/>
      <c r="G110" s="251"/>
      <c r="H110" s="251"/>
      <c r="I110" s="251"/>
    </row>
    <row r="111" spans="1:9" x14ac:dyDescent="0.25">
      <c r="A111" s="795"/>
      <c r="B111" s="798"/>
      <c r="C111" s="182" t="s">
        <v>27</v>
      </c>
      <c r="D111" s="594" t="str">
        <f>IF(E111='Parametre - Agendové IS'!Q89,"OK","Chyba počtu FTE")</f>
        <v>Chyba počtu FTE</v>
      </c>
      <c r="E111" s="595">
        <f t="shared" si="3"/>
        <v>0</v>
      </c>
      <c r="F111" s="251"/>
      <c r="G111" s="251"/>
      <c r="H111" s="251"/>
      <c r="I111" s="251"/>
    </row>
    <row r="112" spans="1:9" x14ac:dyDescent="0.25">
      <c r="A112" s="795"/>
      <c r="B112" s="798"/>
      <c r="C112" s="182" t="s">
        <v>28</v>
      </c>
      <c r="D112" s="594" t="str">
        <f>IF(E112='Parametre - Agendové IS'!Q90,"OK","Chyba počtu FTE")</f>
        <v>Chyba počtu FTE</v>
      </c>
      <c r="E112" s="595">
        <f t="shared" si="3"/>
        <v>0</v>
      </c>
      <c r="F112" s="251"/>
      <c r="G112" s="251"/>
      <c r="H112" s="251"/>
      <c r="I112" s="251"/>
    </row>
    <row r="113" spans="1:9" x14ac:dyDescent="0.25">
      <c r="A113" s="795"/>
      <c r="B113" s="798"/>
      <c r="C113" s="182" t="s">
        <v>29</v>
      </c>
      <c r="D113" s="594" t="str">
        <f>IF(E113='Parametre - Agendové IS'!Q91,"OK","Chyba počtu FTE")</f>
        <v>Chyba počtu FTE</v>
      </c>
      <c r="E113" s="595">
        <f t="shared" si="3"/>
        <v>0</v>
      </c>
      <c r="F113" s="251"/>
      <c r="G113" s="251"/>
      <c r="H113" s="251"/>
      <c r="I113" s="251"/>
    </row>
    <row r="114" spans="1:9" x14ac:dyDescent="0.25">
      <c r="A114" s="795"/>
      <c r="B114" s="798"/>
      <c r="C114" s="182" t="s">
        <v>30</v>
      </c>
      <c r="D114" s="594" t="str">
        <f>IF(E114='Parametre - Agendové IS'!Q92,"OK","Chyba počtu FTE")</f>
        <v>Chyba počtu FTE</v>
      </c>
      <c r="E114" s="595">
        <f t="shared" si="3"/>
        <v>0</v>
      </c>
      <c r="F114" s="251"/>
      <c r="G114" s="251"/>
      <c r="H114" s="251"/>
      <c r="I114" s="251"/>
    </row>
    <row r="115" spans="1:9" x14ac:dyDescent="0.25">
      <c r="A115" s="795"/>
      <c r="B115" s="798"/>
      <c r="C115" s="182" t="s">
        <v>31</v>
      </c>
      <c r="D115" s="594" t="str">
        <f>IF(E115='Parametre - Agendové IS'!Q93,"OK","Chyba počtu FTE")</f>
        <v>Chyba počtu FTE</v>
      </c>
      <c r="E115" s="595">
        <f t="shared" si="3"/>
        <v>0</v>
      </c>
      <c r="F115" s="251"/>
      <c r="G115" s="251"/>
      <c r="H115" s="251"/>
      <c r="I115" s="251"/>
    </row>
    <row r="116" spans="1:9" x14ac:dyDescent="0.25">
      <c r="A116" s="795"/>
      <c r="B116" s="798"/>
      <c r="C116" s="182" t="s">
        <v>32</v>
      </c>
      <c r="D116" s="594" t="str">
        <f>IF(E116='Parametre - Agendové IS'!Q94,"OK","Chyba počtu FTE")</f>
        <v>Chyba počtu FTE</v>
      </c>
      <c r="E116" s="595">
        <f t="shared" si="3"/>
        <v>0</v>
      </c>
      <c r="F116" s="251"/>
      <c r="G116" s="251"/>
      <c r="H116" s="251"/>
      <c r="I116" s="251"/>
    </row>
    <row r="117" spans="1:9" x14ac:dyDescent="0.25">
      <c r="A117" s="795"/>
      <c r="B117" s="798"/>
      <c r="C117" s="182" t="s">
        <v>33</v>
      </c>
      <c r="D117" s="594" t="str">
        <f>IF(E117='Parametre - Agendové IS'!Q95,"OK","Chyba počtu FTE")</f>
        <v>Chyba počtu FTE</v>
      </c>
      <c r="E117" s="595">
        <f t="shared" si="3"/>
        <v>0</v>
      </c>
      <c r="F117" s="251"/>
      <c r="G117" s="251"/>
      <c r="H117" s="251"/>
      <c r="I117" s="251"/>
    </row>
    <row r="118" spans="1:9" ht="15.75" thickBot="1" x14ac:dyDescent="0.3">
      <c r="A118" s="795"/>
      <c r="B118" s="798"/>
      <c r="C118" s="182" t="s">
        <v>34</v>
      </c>
      <c r="D118" s="596" t="str">
        <f>IF(E118='Parametre - Agendové IS'!Q96,"OK","Chyba počtu FTE")</f>
        <v>Chyba počtu FTE</v>
      </c>
      <c r="E118" s="597">
        <f t="shared" si="3"/>
        <v>0</v>
      </c>
      <c r="F118" s="252"/>
      <c r="G118" s="252"/>
      <c r="H118" s="252"/>
      <c r="I118" s="252"/>
    </row>
    <row r="119" spans="1:9" x14ac:dyDescent="0.25">
      <c r="A119" s="794" t="s">
        <v>41</v>
      </c>
      <c r="B119" s="797" t="s">
        <v>37</v>
      </c>
      <c r="C119" s="185" t="s">
        <v>25</v>
      </c>
      <c r="D119" s="593" t="str">
        <f>IF(E119='Parametre - Agendové IS'!Q6,"OK","Chyba počtu podaní")</f>
        <v>Chyba počtu podaní</v>
      </c>
      <c r="E119" s="598">
        <f t="shared" si="3"/>
        <v>0</v>
      </c>
      <c r="F119" s="250"/>
      <c r="G119" s="250"/>
      <c r="H119" s="250"/>
      <c r="I119" s="250"/>
    </row>
    <row r="120" spans="1:9" x14ac:dyDescent="0.25">
      <c r="A120" s="795"/>
      <c r="B120" s="798"/>
      <c r="C120" s="182" t="s">
        <v>26</v>
      </c>
      <c r="D120" s="594" t="str">
        <f>IF(E120='Parametre - Agendové IS'!Q7,"OK","Chyba počtu podaní")</f>
        <v>Chyba počtu podaní</v>
      </c>
      <c r="E120" s="595">
        <f t="shared" si="3"/>
        <v>0</v>
      </c>
      <c r="F120" s="251"/>
      <c r="G120" s="251"/>
      <c r="H120" s="251"/>
      <c r="I120" s="251"/>
    </row>
    <row r="121" spans="1:9" x14ac:dyDescent="0.25">
      <c r="A121" s="795"/>
      <c r="B121" s="798"/>
      <c r="C121" s="182" t="s">
        <v>27</v>
      </c>
      <c r="D121" s="594" t="str">
        <f>IF(E121='Parametre - Agendové IS'!Q8,"OK","Chyba počtu podaní")</f>
        <v>Chyba počtu podaní</v>
      </c>
      <c r="E121" s="595">
        <f t="shared" si="3"/>
        <v>0</v>
      </c>
      <c r="F121" s="251"/>
      <c r="G121" s="251"/>
      <c r="H121" s="251"/>
      <c r="I121" s="251"/>
    </row>
    <row r="122" spans="1:9" x14ac:dyDescent="0.25">
      <c r="A122" s="795"/>
      <c r="B122" s="798"/>
      <c r="C122" s="182" t="s">
        <v>28</v>
      </c>
      <c r="D122" s="594" t="str">
        <f>IF(E122='Parametre - Agendové IS'!Q9,"OK","Chyba počtu podaní")</f>
        <v>Chyba počtu podaní</v>
      </c>
      <c r="E122" s="595">
        <f t="shared" si="3"/>
        <v>0</v>
      </c>
      <c r="F122" s="251"/>
      <c r="G122" s="251"/>
      <c r="H122" s="251"/>
      <c r="I122" s="251"/>
    </row>
    <row r="123" spans="1:9" x14ac:dyDescent="0.25">
      <c r="A123" s="795"/>
      <c r="B123" s="798"/>
      <c r="C123" s="182" t="s">
        <v>29</v>
      </c>
      <c r="D123" s="594" t="str">
        <f>IF(E123='Parametre - Agendové IS'!Q10,"OK","Chyba počtu podaní")</f>
        <v>Chyba počtu podaní</v>
      </c>
      <c r="E123" s="595">
        <f t="shared" si="3"/>
        <v>0</v>
      </c>
      <c r="F123" s="251"/>
      <c r="G123" s="251"/>
      <c r="H123" s="251"/>
      <c r="I123" s="251"/>
    </row>
    <row r="124" spans="1:9" x14ac:dyDescent="0.25">
      <c r="A124" s="795"/>
      <c r="B124" s="798"/>
      <c r="C124" s="182" t="s">
        <v>30</v>
      </c>
      <c r="D124" s="594" t="str">
        <f>IF(E124='Parametre - Agendové IS'!Q11,"OK","Chyba počtu podaní")</f>
        <v>Chyba počtu podaní</v>
      </c>
      <c r="E124" s="595">
        <f t="shared" si="3"/>
        <v>0</v>
      </c>
      <c r="F124" s="251"/>
      <c r="G124" s="251"/>
      <c r="H124" s="251"/>
      <c r="I124" s="251"/>
    </row>
    <row r="125" spans="1:9" x14ac:dyDescent="0.25">
      <c r="A125" s="795"/>
      <c r="B125" s="798"/>
      <c r="C125" s="182" t="s">
        <v>31</v>
      </c>
      <c r="D125" s="594" t="str">
        <f>IF(E125='Parametre - Agendové IS'!Q12,"OK","Chyba počtu podaní")</f>
        <v>Chyba počtu podaní</v>
      </c>
      <c r="E125" s="595">
        <f t="shared" si="3"/>
        <v>0</v>
      </c>
      <c r="F125" s="251"/>
      <c r="G125" s="251"/>
      <c r="H125" s="251"/>
      <c r="I125" s="251"/>
    </row>
    <row r="126" spans="1:9" x14ac:dyDescent="0.25">
      <c r="A126" s="795"/>
      <c r="B126" s="798"/>
      <c r="C126" s="182" t="s">
        <v>32</v>
      </c>
      <c r="D126" s="594" t="str">
        <f>IF(E126='Parametre - Agendové IS'!Q13,"OK","Chyba počtu podaní")</f>
        <v>Chyba počtu podaní</v>
      </c>
      <c r="E126" s="595">
        <f t="shared" si="3"/>
        <v>0</v>
      </c>
      <c r="F126" s="251"/>
      <c r="G126" s="251"/>
      <c r="H126" s="251"/>
      <c r="I126" s="251"/>
    </row>
    <row r="127" spans="1:9" x14ac:dyDescent="0.25">
      <c r="A127" s="795"/>
      <c r="B127" s="798"/>
      <c r="C127" s="182" t="s">
        <v>33</v>
      </c>
      <c r="D127" s="594" t="str">
        <f>IF(E127='Parametre - Agendové IS'!Q14,"OK","Chyba počtu podaní")</f>
        <v>Chyba počtu podaní</v>
      </c>
      <c r="E127" s="595">
        <f t="shared" si="3"/>
        <v>0</v>
      </c>
      <c r="F127" s="251"/>
      <c r="G127" s="251"/>
      <c r="H127" s="251"/>
      <c r="I127" s="251"/>
    </row>
    <row r="128" spans="1:9" ht="15.75" thickBot="1" x14ac:dyDescent="0.3">
      <c r="A128" s="796"/>
      <c r="B128" s="799"/>
      <c r="C128" s="183" t="s">
        <v>34</v>
      </c>
      <c r="D128" s="594" t="str">
        <f>IF(E128='Parametre - Agendové IS'!Q15,"OK","Chyba počtu podaní")</f>
        <v>Chyba počtu podaní</v>
      </c>
      <c r="E128" s="595">
        <f t="shared" si="3"/>
        <v>0</v>
      </c>
      <c r="F128" s="251"/>
      <c r="G128" s="251"/>
      <c r="H128" s="251"/>
      <c r="I128" s="251"/>
    </row>
    <row r="129" spans="1:9" x14ac:dyDescent="0.25">
      <c r="A129" s="794" t="s">
        <v>39</v>
      </c>
      <c r="B129" s="797" t="s">
        <v>13</v>
      </c>
      <c r="C129" s="185" t="s">
        <v>25</v>
      </c>
      <c r="D129" s="593" t="str">
        <f>IF(E129='Parametre - Agendové IS'!Q127,"OK","Chyba")</f>
        <v>OK</v>
      </c>
      <c r="E129" s="598">
        <f t="shared" si="3"/>
        <v>0</v>
      </c>
      <c r="F129" s="250"/>
      <c r="G129" s="250"/>
      <c r="H129" s="250"/>
      <c r="I129" s="250"/>
    </row>
    <row r="130" spans="1:9" x14ac:dyDescent="0.25">
      <c r="A130" s="795"/>
      <c r="B130" s="798"/>
      <c r="C130" s="182" t="s">
        <v>26</v>
      </c>
      <c r="D130" s="594" t="str">
        <f>IF(E130='Parametre - Agendové IS'!Q128,"OK","Chyba")</f>
        <v>OK</v>
      </c>
      <c r="E130" s="595">
        <f t="shared" si="3"/>
        <v>0</v>
      </c>
      <c r="F130" s="251"/>
      <c r="G130" s="251"/>
      <c r="H130" s="251"/>
      <c r="I130" s="251"/>
    </row>
    <row r="131" spans="1:9" x14ac:dyDescent="0.25">
      <c r="A131" s="795"/>
      <c r="B131" s="798"/>
      <c r="C131" s="182" t="s">
        <v>27</v>
      </c>
      <c r="D131" s="594" t="str">
        <f>IF(E131='Parametre - Agendové IS'!Q129,"OK","Chyba")</f>
        <v>OK</v>
      </c>
      <c r="E131" s="595">
        <f t="shared" si="3"/>
        <v>0</v>
      </c>
      <c r="F131" s="251"/>
      <c r="G131" s="251"/>
      <c r="H131" s="251"/>
      <c r="I131" s="251"/>
    </row>
    <row r="132" spans="1:9" x14ac:dyDescent="0.25">
      <c r="A132" s="795"/>
      <c r="B132" s="798"/>
      <c r="C132" s="182" t="s">
        <v>28</v>
      </c>
      <c r="D132" s="594" t="str">
        <f>IF(E132='Parametre - Agendové IS'!Q130,"OK","Chyba")</f>
        <v>OK</v>
      </c>
      <c r="E132" s="595">
        <f t="shared" si="3"/>
        <v>0</v>
      </c>
      <c r="F132" s="251"/>
      <c r="G132" s="251"/>
      <c r="H132" s="251"/>
      <c r="I132" s="251"/>
    </row>
    <row r="133" spans="1:9" x14ac:dyDescent="0.25">
      <c r="A133" s="795"/>
      <c r="B133" s="798"/>
      <c r="C133" s="182" t="s">
        <v>29</v>
      </c>
      <c r="D133" s="594" t="str">
        <f>IF(E133='Parametre - Agendové IS'!Q131,"OK","Chyba")</f>
        <v>OK</v>
      </c>
      <c r="E133" s="595">
        <f t="shared" si="3"/>
        <v>0</v>
      </c>
      <c r="F133" s="251"/>
      <c r="G133" s="251"/>
      <c r="H133" s="251"/>
      <c r="I133" s="251"/>
    </row>
    <row r="134" spans="1:9" x14ac:dyDescent="0.25">
      <c r="A134" s="795"/>
      <c r="B134" s="798"/>
      <c r="C134" s="182" t="s">
        <v>30</v>
      </c>
      <c r="D134" s="594" t="str">
        <f>IF(E134='Parametre - Agendové IS'!Q132,"OK","Chyba")</f>
        <v>OK</v>
      </c>
      <c r="E134" s="595">
        <f t="shared" si="3"/>
        <v>0</v>
      </c>
      <c r="F134" s="251"/>
      <c r="G134" s="251"/>
      <c r="H134" s="251"/>
      <c r="I134" s="251"/>
    </row>
    <row r="135" spans="1:9" x14ac:dyDescent="0.25">
      <c r="A135" s="795"/>
      <c r="B135" s="798"/>
      <c r="C135" s="182" t="s">
        <v>31</v>
      </c>
      <c r="D135" s="594" t="str">
        <f>IF(E135='Parametre - Agendové IS'!Q133,"OK","Chyba")</f>
        <v>OK</v>
      </c>
      <c r="E135" s="595">
        <f t="shared" si="3"/>
        <v>0</v>
      </c>
      <c r="F135" s="251"/>
      <c r="G135" s="251"/>
      <c r="H135" s="251"/>
      <c r="I135" s="251"/>
    </row>
    <row r="136" spans="1:9" x14ac:dyDescent="0.25">
      <c r="A136" s="795"/>
      <c r="B136" s="798"/>
      <c r="C136" s="182" t="s">
        <v>32</v>
      </c>
      <c r="D136" s="594" t="str">
        <f>IF(E136='Parametre - Agendové IS'!Q134,"OK","Chyba")</f>
        <v>OK</v>
      </c>
      <c r="E136" s="595">
        <f t="shared" si="3"/>
        <v>0</v>
      </c>
      <c r="F136" s="251"/>
      <c r="G136" s="251"/>
      <c r="H136" s="251"/>
      <c r="I136" s="251"/>
    </row>
    <row r="137" spans="1:9" x14ac:dyDescent="0.25">
      <c r="A137" s="795"/>
      <c r="B137" s="798"/>
      <c r="C137" s="182" t="s">
        <v>33</v>
      </c>
      <c r="D137" s="594" t="str">
        <f>IF(E137='Parametre - Agendové IS'!Q135,"OK","Chyba")</f>
        <v>OK</v>
      </c>
      <c r="E137" s="595">
        <f t="shared" si="3"/>
        <v>0</v>
      </c>
      <c r="F137" s="251"/>
      <c r="G137" s="251"/>
      <c r="H137" s="251"/>
      <c r="I137" s="251"/>
    </row>
    <row r="138" spans="1:9" ht="15.75" thickBot="1" x14ac:dyDescent="0.3">
      <c r="A138" s="796"/>
      <c r="B138" s="799"/>
      <c r="C138" s="183" t="s">
        <v>34</v>
      </c>
      <c r="D138" s="594" t="str">
        <f>IF(E138='Parametre - Agendové IS'!Q136,"OK","Chyba")</f>
        <v>OK</v>
      </c>
      <c r="E138" s="595">
        <f t="shared" si="3"/>
        <v>0</v>
      </c>
      <c r="F138" s="251"/>
      <c r="G138" s="251"/>
      <c r="H138" s="251"/>
      <c r="I138" s="251"/>
    </row>
  </sheetData>
  <mergeCells count="32">
    <mergeCell ref="A119:A128"/>
    <mergeCell ref="B119:B128"/>
    <mergeCell ref="A109:A118"/>
    <mergeCell ref="B109:B118"/>
    <mergeCell ref="A84:A93"/>
    <mergeCell ref="B84:B93"/>
    <mergeCell ref="A107:C108"/>
    <mergeCell ref="D107:E107"/>
    <mergeCell ref="D72:E72"/>
    <mergeCell ref="D37:E37"/>
    <mergeCell ref="D2:E2"/>
    <mergeCell ref="A2:C3"/>
    <mergeCell ref="B4:B13"/>
    <mergeCell ref="A14:A23"/>
    <mergeCell ref="B14:B23"/>
    <mergeCell ref="A4:A13"/>
    <mergeCell ref="A129:A138"/>
    <mergeCell ref="B129:B138"/>
    <mergeCell ref="A24:A33"/>
    <mergeCell ref="B24:B33"/>
    <mergeCell ref="A59:A68"/>
    <mergeCell ref="B59:B68"/>
    <mergeCell ref="A94:A103"/>
    <mergeCell ref="B94:B103"/>
    <mergeCell ref="A37:C38"/>
    <mergeCell ref="A39:A48"/>
    <mergeCell ref="B39:B48"/>
    <mergeCell ref="A49:A58"/>
    <mergeCell ref="B49:B58"/>
    <mergeCell ref="A72:C73"/>
    <mergeCell ref="A74:A83"/>
    <mergeCell ref="B74:B83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</sheetPr>
  <dimension ref="A1:V32"/>
  <sheetViews>
    <sheetView view="pageBreakPreview" zoomScale="60" zoomScaleNormal="100" workbookViewId="0">
      <selection sqref="A1:C1"/>
    </sheetView>
  </sheetViews>
  <sheetFormatPr defaultColWidth="9.140625" defaultRowHeight="15" x14ac:dyDescent="0.25"/>
  <cols>
    <col min="1" max="1" width="9.140625" style="537"/>
    <col min="2" max="2" width="9.140625" style="537" customWidth="1"/>
    <col min="3" max="3" width="32" style="537" customWidth="1"/>
    <col min="4" max="6" width="13.42578125" style="537" bestFit="1" customWidth="1"/>
    <col min="7" max="7" width="11.7109375" style="537" bestFit="1" customWidth="1"/>
    <col min="8" max="8" width="19.85546875" style="537" customWidth="1"/>
    <col min="9" max="9" width="13.85546875" style="537" bestFit="1" customWidth="1"/>
    <col min="10" max="14" width="9.140625" style="537"/>
    <col min="15" max="15" width="32.28515625" style="537" customWidth="1"/>
    <col min="16" max="18" width="15.42578125" style="537" bestFit="1" customWidth="1"/>
    <col min="19" max="19" width="12.85546875" style="537" bestFit="1" customWidth="1"/>
    <col min="20" max="20" width="20.42578125" style="537" customWidth="1"/>
    <col min="21" max="21" width="15.42578125" style="537" bestFit="1" customWidth="1"/>
    <col min="22" max="16384" width="9.140625" style="537"/>
  </cols>
  <sheetData>
    <row r="1" spans="1:21" ht="21.75" customHeight="1" thickBot="1" x14ac:dyDescent="0.3">
      <c r="A1" s="689" t="s">
        <v>376</v>
      </c>
      <c r="B1" s="689"/>
      <c r="C1" s="689"/>
      <c r="D1" s="536"/>
      <c r="E1" s="536"/>
      <c r="F1" s="536"/>
      <c r="G1" s="536"/>
      <c r="H1" s="536"/>
      <c r="I1" s="536"/>
      <c r="J1" s="536"/>
      <c r="K1" s="536"/>
      <c r="L1" s="536"/>
      <c r="M1" s="689" t="s">
        <v>377</v>
      </c>
      <c r="N1" s="689"/>
      <c r="O1" s="689"/>
    </row>
    <row r="2" spans="1:21" ht="30" x14ac:dyDescent="0.25">
      <c r="A2" s="690"/>
      <c r="B2" s="691"/>
      <c r="C2" s="692"/>
      <c r="D2" s="631" t="str">
        <f>'Parametre - Agendové IS'!G1</f>
        <v>Modul 1</v>
      </c>
      <c r="E2" s="631" t="str">
        <f>'Parametre - Agendové IS'!J1</f>
        <v>Modul 2</v>
      </c>
      <c r="F2" s="631" t="str">
        <f>'Parametre - Agendové IS'!M1</f>
        <v>Modul 3</v>
      </c>
      <c r="G2" s="632" t="str">
        <f>'Parametre - Agendové IS'!P1</f>
        <v>Modul N</v>
      </c>
      <c r="H2" s="634" t="s">
        <v>362</v>
      </c>
      <c r="I2" s="633" t="s">
        <v>105</v>
      </c>
      <c r="M2" s="690"/>
      <c r="N2" s="691"/>
      <c r="O2" s="692"/>
      <c r="P2" s="631" t="str">
        <f>D2</f>
        <v>Modul 1</v>
      </c>
      <c r="Q2" s="631" t="str">
        <f>E2</f>
        <v>Modul 2</v>
      </c>
      <c r="R2" s="631" t="str">
        <f>F2</f>
        <v>Modul 3</v>
      </c>
      <c r="S2" s="632" t="str">
        <f>G2</f>
        <v>Modul N</v>
      </c>
      <c r="T2" s="634" t="s">
        <v>362</v>
      </c>
      <c r="U2" s="633" t="s">
        <v>105</v>
      </c>
    </row>
    <row r="3" spans="1:21" x14ac:dyDescent="0.25">
      <c r="A3" s="366" t="s">
        <v>381</v>
      </c>
      <c r="B3" s="367"/>
      <c r="C3" s="368"/>
      <c r="D3" s="369">
        <f>D4+D5+D9+D13+D14</f>
        <v>-15257879.527602844</v>
      </c>
      <c r="E3" s="369" t="e">
        <f>E4+E5+E9+E13+E14</f>
        <v>#REF!</v>
      </c>
      <c r="F3" s="369">
        <f>F4+F5+F9+F13+F14</f>
        <v>973518.17476778396</v>
      </c>
      <c r="G3" s="370">
        <f>G4+G5+G9+G13+G14</f>
        <v>11761.490957591517</v>
      </c>
      <c r="H3" s="369">
        <f>H5+H9+H13+H14</f>
        <v>0</v>
      </c>
      <c r="I3" s="538" t="e">
        <f>SUM(D3:H3)</f>
        <v>#REF!</v>
      </c>
      <c r="M3" s="366" t="s">
        <v>381</v>
      </c>
      <c r="N3" s="367"/>
      <c r="O3" s="368"/>
      <c r="P3" s="369">
        <f>P4+P5+P9+P13+P14</f>
        <v>-20260360</v>
      </c>
      <c r="Q3" s="369" t="e">
        <f>Q4+Q5+Q9+Q13+Q14</f>
        <v>#REF!</v>
      </c>
      <c r="R3" s="369">
        <f>R4+R5+R9+R13+R14</f>
        <v>1362480</v>
      </c>
      <c r="S3" s="370">
        <f>S4+S5+S9+S13+S14</f>
        <v>13328</v>
      </c>
      <c r="T3" s="369">
        <f>T5+T9+T13+T14</f>
        <v>0</v>
      </c>
      <c r="U3" s="538" t="e">
        <f>SUM(P3:T3)</f>
        <v>#REF!</v>
      </c>
    </row>
    <row r="4" spans="1:21" x14ac:dyDescent="0.25">
      <c r="A4" s="371"/>
      <c r="B4" s="372" t="s">
        <v>68</v>
      </c>
      <c r="C4" s="373"/>
      <c r="D4" s="562">
        <f>'Parametre - Agendové IS'!I107+NPV(Faktory!$D$5,'Parametre - Agendové IS'!I108:I116)</f>
        <v>-15366591.934976378</v>
      </c>
      <c r="E4" s="562">
        <f>'Parametre - Agendové IS'!L107+NPV(Faktory!$D$5,'Parametre - Agendové IS'!L108:L116)</f>
        <v>-1536659.1934976378</v>
      </c>
      <c r="F4" s="562">
        <f>'Parametre - Agendové IS'!O107+NPV(Faktory!$D$5,'Parametre - Agendové IS'!O108:O116)</f>
        <v>959434.33882281918</v>
      </c>
      <c r="G4" s="563">
        <f>'Parametre - Agendové IS'!R107+NPV(Faktory!$D$5,'Parametre - Agendové IS'!R108:R116)</f>
        <v>-2665.2021302304211</v>
      </c>
      <c r="H4" s="637" t="s">
        <v>229</v>
      </c>
      <c r="I4" s="564">
        <f>SUM(D4:H4)</f>
        <v>-15946481.991781427</v>
      </c>
      <c r="M4" s="371"/>
      <c r="N4" s="372" t="s">
        <v>68</v>
      </c>
      <c r="O4" s="373"/>
      <c r="P4" s="562">
        <f>SUM('Parametre - Agendové IS'!I107:I116)</f>
        <v>-20376000</v>
      </c>
      <c r="Q4" s="562">
        <f>SUM('Parametre - Agendové IS'!L107:L116)</f>
        <v>-2037600</v>
      </c>
      <c r="R4" s="562">
        <f>SUM('Parametre - Agendové IS'!O107:O116)</f>
        <v>1346200</v>
      </c>
      <c r="S4" s="563">
        <f>SUM('Parametre - Agendové IS'!R107:R116)</f>
        <v>-3312</v>
      </c>
      <c r="T4" s="637" t="s">
        <v>229</v>
      </c>
      <c r="U4" s="564">
        <f>SUM(P4:T4)</f>
        <v>-21070712</v>
      </c>
    </row>
    <row r="5" spans="1:21" x14ac:dyDescent="0.25">
      <c r="A5" s="371"/>
      <c r="B5" s="372" t="s">
        <v>227</v>
      </c>
      <c r="C5" s="373"/>
      <c r="D5" s="562">
        <f>SUM(D6:D8)</f>
        <v>97142.85714285713</v>
      </c>
      <c r="E5" s="562" t="e">
        <f>SUM(E6:E8)</f>
        <v>#REF!</v>
      </c>
      <c r="F5" s="562">
        <f>SUM(F6:F8)</f>
        <v>2514.2857142857142</v>
      </c>
      <c r="G5" s="563">
        <f>SUM(G6:G8)</f>
        <v>2857.1428571428569</v>
      </c>
      <c r="H5" s="562">
        <f>SUM(H6:H8)</f>
        <v>0</v>
      </c>
      <c r="I5" s="564" t="e">
        <f>SUM(D5:H5)</f>
        <v>#REF!</v>
      </c>
      <c r="M5" s="371"/>
      <c r="N5" s="372" t="s">
        <v>227</v>
      </c>
      <c r="O5" s="373"/>
      <c r="P5" s="562">
        <f>SUM(P6:P8)</f>
        <v>102000</v>
      </c>
      <c r="Q5" s="562" t="e">
        <f>SUM(Q6:Q8)</f>
        <v>#REF!</v>
      </c>
      <c r="R5" s="562">
        <f>SUM(R6:R8)</f>
        <v>2640</v>
      </c>
      <c r="S5" s="563">
        <f>SUM(S6:S8)</f>
        <v>3000</v>
      </c>
      <c r="T5" s="562">
        <f>SUM(T6+T7)</f>
        <v>0</v>
      </c>
      <c r="U5" s="564" t="e">
        <f>SUM(P5:T5)</f>
        <v>#REF!</v>
      </c>
    </row>
    <row r="6" spans="1:21" x14ac:dyDescent="0.25">
      <c r="A6" s="374"/>
      <c r="B6" s="375"/>
      <c r="C6" s="376" t="s">
        <v>107</v>
      </c>
      <c r="D6" s="565">
        <f>('TCO TO BE- SW'!F26+NPV(Faktory!$D$5,'TCO TO BE- SW'!F27:F35)+'TCO TO BE- SW'!F36+NPV(Faktory!$D$5,'TCO TO BE- SW'!F37:F45)+'TCO TO BE- SW'!F46+NPV(Faktory!$D$5,'TCO TO BE- SW'!F47:F55))</f>
        <v>0</v>
      </c>
      <c r="E6" s="565" t="e">
        <f>('TCO TO BE- SW'!#REF!+NPV(Faktory!$D$5,'TCO TO BE- SW'!#REF!)+'TCO TO BE- SW'!#REF!+NPV(Faktory!$D$5,'TCO TO BE- SW'!#REF!)+'TCO TO BE- SW'!#REF!+NPV(Faktory!$D$5,'TCO TO BE- SW'!#REF!))</f>
        <v>#REF!</v>
      </c>
      <c r="F6" s="565">
        <f>('TCO TO BE- SW'!G26+NPV(Faktory!$D$5,'TCO TO BE- SW'!G27:G35)+'TCO TO BE- SW'!G36+NPV(Faktory!$D$5,'TCO TO BE- SW'!G37:G45)+'TCO TO BE- SW'!G46+NPV(Faktory!$D$5,'TCO TO BE- SW'!G47:G55))</f>
        <v>0</v>
      </c>
      <c r="G6" s="565">
        <f>('TCO TO BE- SW'!I26+NPV(Faktory!$D$5,'TCO TO BE- SW'!I27:I35)+'TCO TO BE- SW'!I36+NPV(Faktory!$D$5,'TCO TO BE- SW'!I37:I45)+'TCO TO BE- SW'!I46+NPV(Faktory!$D$5,'TCO TO BE- SW'!I47:I55))</f>
        <v>0</v>
      </c>
      <c r="H6" s="565">
        <f>('TCO TO BE- SW'!M26+NPV(Faktory!$D$5,'TCO TO BE- SW'!M27:M35)+'TCO TO BE- SW'!M36+NPV(Faktory!$D$5,'TCO TO BE- SW'!M37:M45)+'TCO TO BE- SW'!M46+NPV(Faktory!$D$5,'TCO TO BE- SW'!M47:M55))</f>
        <v>0</v>
      </c>
      <c r="I6" s="567" t="e">
        <f>SUM(D6:H6)</f>
        <v>#REF!</v>
      </c>
      <c r="M6" s="374"/>
      <c r="N6" s="375"/>
      <c r="O6" s="376" t="s">
        <v>107</v>
      </c>
      <c r="P6" s="565">
        <f>'TCO TO BE- SW'!F25</f>
        <v>0</v>
      </c>
      <c r="Q6" s="565" t="e">
        <f>'TCO TO BE- SW'!#REF!</f>
        <v>#REF!</v>
      </c>
      <c r="R6" s="565">
        <f>'TCO TO BE- SW'!G25</f>
        <v>0</v>
      </c>
      <c r="S6" s="565">
        <f>'TCO TO BE- SW'!I25</f>
        <v>0</v>
      </c>
      <c r="T6" s="565">
        <f>'TCO TO BE- SW'!M25</f>
        <v>0</v>
      </c>
      <c r="U6" s="567" t="e">
        <f>SUM(P6:T6)</f>
        <v>#REF!</v>
      </c>
    </row>
    <row r="7" spans="1:21" x14ac:dyDescent="0.25">
      <c r="A7" s="374"/>
      <c r="B7" s="375"/>
      <c r="C7" s="376" t="s">
        <v>67</v>
      </c>
      <c r="D7" s="565">
        <f>('TCO TO BE- SW'!F5+NPV(Faktory!$D$5,'TCO TO BE- SW'!F6:F14)+'TCO TO BE- SW'!F15+NPV(Faktory!$D$5,'TCO TO BE- SW'!F16:F24))</f>
        <v>62857.142857142855</v>
      </c>
      <c r="E7" s="565" t="e">
        <f>('TCO TO BE- SW'!#REF!+NPV(Faktory!$D$5,'TCO TO BE- SW'!#REF!)+'TCO TO BE- SW'!#REF!+NPV(Faktory!$D$5,'TCO TO BE- SW'!#REF!))</f>
        <v>#REF!</v>
      </c>
      <c r="F7" s="565">
        <f>('TCO TO BE- SW'!G5+NPV(Faktory!$D$5,'TCO TO BE- SW'!G6:G14)+'TCO TO BE- SW'!G15+NPV(Faktory!$D$5,'TCO TO BE- SW'!G16:G24))</f>
        <v>1142.8571428571429</v>
      </c>
      <c r="G7" s="565">
        <f>('TCO TO BE- SW'!I5+NPV(Faktory!$D$5,'TCO TO BE- SW'!I6:I14)+'TCO TO BE- SW'!I15+NPV(Faktory!$D$5,'TCO TO BE- SW'!I16:I24))</f>
        <v>1142.8571428571429</v>
      </c>
      <c r="H7" s="565">
        <f>('TCO TO BE- SW'!M5+NPV(Faktory!$D$5,'TCO TO BE- SW'!M6:M14)+'TCO TO BE- SW'!M15+NPV(Faktory!$D$5,'TCO TO BE- SW'!M16:M24))</f>
        <v>0</v>
      </c>
      <c r="I7" s="567" t="e">
        <f>SUM(D7:H7)</f>
        <v>#REF!</v>
      </c>
      <c r="M7" s="374"/>
      <c r="N7" s="375"/>
      <c r="O7" s="376" t="s">
        <v>67</v>
      </c>
      <c r="P7" s="565">
        <f>'TCO TO BE- SW'!F4</f>
        <v>66000</v>
      </c>
      <c r="Q7" s="565" t="e">
        <f>'TCO TO BE- SW'!#REF!</f>
        <v>#REF!</v>
      </c>
      <c r="R7" s="565">
        <f>'TCO TO BE- SW'!G4</f>
        <v>1200</v>
      </c>
      <c r="S7" s="565">
        <f>'TCO TO BE- SW'!I4</f>
        <v>1200</v>
      </c>
      <c r="T7" s="565">
        <f>'TCO TO BE- SW'!M4</f>
        <v>0</v>
      </c>
      <c r="U7" s="567" t="e">
        <f>SUM(P7:T7)</f>
        <v>#REF!</v>
      </c>
    </row>
    <row r="8" spans="1:21" x14ac:dyDescent="0.25">
      <c r="A8" s="374"/>
      <c r="B8" s="375"/>
      <c r="C8" s="376" t="s">
        <v>66</v>
      </c>
      <c r="D8" s="565">
        <f>('TCO TO BE - HW'!F4+NPV(Faktory!$D$5,'TCO TO BE - HW'!F5:F13)+'TCO TO BE - HW'!F14+NPV(Faktory!$D$5,'TCO TO BE - HW'!F15:F23)+'TCO TO BE - HW'!F24+NPV(Faktory!$D$5,'TCO TO BE - HW'!F25:F33))</f>
        <v>34285.714285714283</v>
      </c>
      <c r="E8" s="565" t="e">
        <f>('TCO TO BE - HW'!#REF!+NPV(Faktory!$D$5,'TCO TO BE - HW'!#REF!)+'TCO TO BE - HW'!#REF!+NPV(Faktory!$D$5,'TCO TO BE - HW'!#REF!)+'TCO TO BE - HW'!#REF!+NPV(Faktory!$D$5,'TCO TO BE - HW'!#REF!))</f>
        <v>#REF!</v>
      </c>
      <c r="F8" s="565">
        <f>('TCO TO BE - HW'!G4+NPV(Faktory!$D$5,'TCO TO BE - HW'!G5:G13)+'TCO TO BE - HW'!G14+NPV(Faktory!$D$5,'TCO TO BE - HW'!G15:G23)+'TCO TO BE - HW'!G24+NPV(Faktory!$D$5,'TCO TO BE - HW'!G25:G33))</f>
        <v>1371.4285714285713</v>
      </c>
      <c r="G8" s="565">
        <f>('TCO TO BE - HW'!H4+NPV(Faktory!$D$5,'TCO TO BE - HW'!H5:H13)+'TCO TO BE - HW'!H14+NPV(Faktory!$D$5,'TCO TO BE - HW'!H15:H23)+'TCO TO BE - HW'!H24+NPV(Faktory!$D$5,'TCO TO BE - HW'!H25:H33))</f>
        <v>1714.2857142857142</v>
      </c>
      <c r="H8" s="568" t="s">
        <v>229</v>
      </c>
      <c r="I8" s="567" t="e">
        <f t="shared" ref="I8:I17" si="0">SUM(D8:G8)</f>
        <v>#REF!</v>
      </c>
      <c r="M8" s="374"/>
      <c r="N8" s="375"/>
      <c r="O8" s="376" t="s">
        <v>66</v>
      </c>
      <c r="P8" s="565">
        <f>'TCO TO BE - HW'!F3</f>
        <v>36000</v>
      </c>
      <c r="Q8" s="565" t="e">
        <f>'TCO TO BE - HW'!#REF!</f>
        <v>#REF!</v>
      </c>
      <c r="R8" s="565">
        <f>'TCO TO BE - HW'!G3</f>
        <v>1440</v>
      </c>
      <c r="S8" s="565">
        <f>'TCO TO BE - HW'!H3</f>
        <v>1800</v>
      </c>
      <c r="T8" s="568" t="s">
        <v>229</v>
      </c>
      <c r="U8" s="567" t="e">
        <f t="shared" ref="U8:U23" si="1">SUM(P8:S8)</f>
        <v>#REF!</v>
      </c>
    </row>
    <row r="9" spans="1:21" x14ac:dyDescent="0.25">
      <c r="A9" s="371"/>
      <c r="B9" s="372" t="s">
        <v>228</v>
      </c>
      <c r="C9" s="373"/>
      <c r="D9" s="562">
        <f>SUM(D10:D12)</f>
        <v>6293.8581634116345</v>
      </c>
      <c r="E9" s="562" t="e">
        <f>SUM(E10:E12)</f>
        <v>#REF!</v>
      </c>
      <c r="F9" s="562">
        <f>SUM(F10:F12)</f>
        <v>6293.8581634116345</v>
      </c>
      <c r="G9" s="563">
        <f>SUM(G10:G12)</f>
        <v>6293.8581634116345</v>
      </c>
      <c r="H9" s="562">
        <f>SUM(H10:H12)</f>
        <v>0</v>
      </c>
      <c r="I9" s="564" t="e">
        <f>SUM(D9:H9)</f>
        <v>#REF!</v>
      </c>
      <c r="M9" s="371"/>
      <c r="N9" s="372" t="s">
        <v>228</v>
      </c>
      <c r="O9" s="373"/>
      <c r="P9" s="562">
        <f>SUM(P10:P12)</f>
        <v>7440</v>
      </c>
      <c r="Q9" s="562" t="e">
        <f>SUM(Q10:Q12)</f>
        <v>#REF!</v>
      </c>
      <c r="R9" s="562">
        <f>SUM(R10:R12)</f>
        <v>7440</v>
      </c>
      <c r="S9" s="563">
        <f>SUM(S10:S12)</f>
        <v>7440</v>
      </c>
      <c r="T9" s="562">
        <f>SUM(T10+T11)</f>
        <v>0</v>
      </c>
      <c r="U9" s="564" t="e">
        <f>SUM(P9:T9)</f>
        <v>#REF!</v>
      </c>
    </row>
    <row r="10" spans="1:21" x14ac:dyDescent="0.25">
      <c r="A10" s="374"/>
      <c r="B10" s="375"/>
      <c r="C10" s="376" t="s">
        <v>107</v>
      </c>
      <c r="D10" s="565">
        <f>('TCO TO BE- SW'!F79+NPV(Faktory!$D$5,'TCO TO BE- SW'!F80:F88)+'TCO TO BE- SW'!F89+NPV(Faktory!$D$5,'TCO TO BE- SW'!F90:F98)+'TCO TO BE- SW'!F99+NPV(Faktory!$D$5,'TCO TO BE- SW'!F100:F108)+'TCO TO BE- SW'!F109+NPV(Faktory!$D$5,'TCO TO BE- SW'!F110:F118)+'TCO TO BE- SW'!F119+NPV(Faktory!$D$5,'TCO TO BE- SW'!F120:F128))</f>
        <v>0</v>
      </c>
      <c r="E10" s="565" t="e">
        <f>('TCO TO BE- SW'!#REF!+NPV(Faktory!$D$5,'TCO TO BE- SW'!#REF!)+'TCO TO BE- SW'!#REF!+NPV(Faktory!$D$5,'TCO TO BE- SW'!#REF!)+'TCO TO BE- SW'!#REF!+NPV(Faktory!$D$5,'TCO TO BE- SW'!#REF!)+'TCO TO BE- SW'!#REF!+NPV(Faktory!$D$5,'TCO TO BE- SW'!#REF!)+'TCO TO BE- SW'!#REF!+NPV(Faktory!$D$5,'TCO TO BE- SW'!#REF!))</f>
        <v>#REF!</v>
      </c>
      <c r="F10" s="565">
        <f>('TCO TO BE- SW'!G79+NPV(Faktory!$D$5,'TCO TO BE- SW'!G80:G88)+'TCO TO BE- SW'!G89+NPV(Faktory!$D$5,'TCO TO BE- SW'!G90:G98)+'TCO TO BE- SW'!G99+NPV(Faktory!$D$5,'TCO TO BE- SW'!G100:G108)+'TCO TO BE- SW'!G109+NPV(Faktory!$D$5,'TCO TO BE- SW'!G110:G118)+'TCO TO BE- SW'!G119+NPV(Faktory!$D$5,'TCO TO BE- SW'!G120:G128))</f>
        <v>0</v>
      </c>
      <c r="G10" s="565">
        <f>('TCO TO BE- SW'!I79+NPV(Faktory!$D$5,'TCO TO BE- SW'!I80:I88)+'TCO TO BE- SW'!I89+NPV(Faktory!$D$5,'TCO TO BE- SW'!I90:I98)+'TCO TO BE- SW'!I99+NPV(Faktory!$D$5,'TCO TO BE- SW'!I100:I108)+'TCO TO BE- SW'!I109+NPV(Faktory!$D$5,'TCO TO BE- SW'!I110:I118)+'TCO TO BE- SW'!I119+NPV(Faktory!$D$5,'TCO TO BE- SW'!I120:I128))</f>
        <v>0</v>
      </c>
      <c r="H10" s="565">
        <f>('TCO TO BE- SW'!M79+NPV(Faktory!$D$5,'TCO TO BE- SW'!M80:M88)+'TCO TO BE- SW'!M89+NPV(Faktory!$D$5,'TCO TO BE- SW'!M90:M98)+'TCO TO BE- SW'!M99+NPV(Faktory!$D$5,'TCO TO BE- SW'!M100:M108)+'TCO TO BE- SW'!M109+NPV(Faktory!$D$5,'TCO TO BE- SW'!M110:M118)+'TCO TO BE- SW'!M119+NPV(Faktory!$D$5,'TCO TO BE- SW'!M120:M128))</f>
        <v>0</v>
      </c>
      <c r="I10" s="567" t="e">
        <f>SUM(D10:H10)</f>
        <v>#REF!</v>
      </c>
      <c r="M10" s="374"/>
      <c r="N10" s="375"/>
      <c r="O10" s="376" t="s">
        <v>107</v>
      </c>
      <c r="P10" s="565">
        <f>'TCO TO BE- SW'!F78</f>
        <v>0</v>
      </c>
      <c r="Q10" s="565" t="e">
        <f>'TCO TO BE- SW'!#REF!</f>
        <v>#REF!</v>
      </c>
      <c r="R10" s="565">
        <f>'TCO TO BE- SW'!G78</f>
        <v>0</v>
      </c>
      <c r="S10" s="565">
        <f>'TCO TO BE- SW'!I78</f>
        <v>0</v>
      </c>
      <c r="T10" s="565">
        <f>'TCO TO BE- SW'!M78</f>
        <v>0</v>
      </c>
      <c r="U10" s="567" t="e">
        <f>SUM(P10:T10)</f>
        <v>#REF!</v>
      </c>
    </row>
    <row r="11" spans="1:21" x14ac:dyDescent="0.25">
      <c r="A11" s="374"/>
      <c r="B11" s="375"/>
      <c r="C11" s="376" t="s">
        <v>67</v>
      </c>
      <c r="D11" s="565">
        <f>('TCO TO BE- SW'!F58+NPV(Faktory!$D$5,'TCO TO BE- SW'!F59:F67)+'TCO TO BE- SW'!F68+NPV(Faktory!$D$5,'TCO TO BE- SW'!F69:F77))</f>
        <v>0</v>
      </c>
      <c r="E11" s="565" t="e">
        <f>('TCO TO BE- SW'!#REF!+NPV(Faktory!$D$5,'TCO TO BE- SW'!#REF!)+'TCO TO BE- SW'!#REF!+NPV(Faktory!$D$5,'TCO TO BE- SW'!#REF!))</f>
        <v>#REF!</v>
      </c>
      <c r="F11" s="565">
        <f>('TCO TO BE- SW'!G58+NPV(Faktory!$D$5,'TCO TO BE- SW'!G59:G67)+'TCO TO BE- SW'!G68+NPV(Faktory!$D$5,'TCO TO BE- SW'!G69:G77))</f>
        <v>0</v>
      </c>
      <c r="G11" s="565">
        <f>('TCO TO BE- SW'!I58+NPV(Faktory!$D$5,'TCO TO BE- SW'!I59:I67)+'TCO TO BE- SW'!I68+NPV(Faktory!$D$5,'TCO TO BE- SW'!I69:I77))</f>
        <v>0</v>
      </c>
      <c r="H11" s="565">
        <f>('TCO TO BE- SW'!M58+NPV(Faktory!$D$5,'TCO TO BE- SW'!M59:M67)+'TCO TO BE- SW'!M68+NPV(Faktory!$D$5,'TCO TO BE- SW'!M69:M77))</f>
        <v>0</v>
      </c>
      <c r="I11" s="567" t="e">
        <f>SUM(D11:H11)</f>
        <v>#REF!</v>
      </c>
      <c r="M11" s="374"/>
      <c r="N11" s="375"/>
      <c r="O11" s="376" t="s">
        <v>67</v>
      </c>
      <c r="P11" s="565">
        <f>'TCO TO BE- SW'!F57</f>
        <v>0</v>
      </c>
      <c r="Q11" s="565" t="e">
        <f>'TCO TO BE- SW'!#REF!</f>
        <v>#REF!</v>
      </c>
      <c r="R11" s="565">
        <f>'TCO TO BE- SW'!G57</f>
        <v>0</v>
      </c>
      <c r="S11" s="565">
        <f>'TCO TO BE- SW'!I57</f>
        <v>0</v>
      </c>
      <c r="T11" s="565">
        <f>'TCO TO BE- SW'!M57</f>
        <v>0</v>
      </c>
      <c r="U11" s="567" t="e">
        <f>SUM(P11:T11)</f>
        <v>#REF!</v>
      </c>
    </row>
    <row r="12" spans="1:21" x14ac:dyDescent="0.25">
      <c r="A12" s="374"/>
      <c r="B12" s="375"/>
      <c r="C12" s="376" t="s">
        <v>66</v>
      </c>
      <c r="D12" s="565">
        <f>('TCO TO BE - HW'!F35+NPV(Faktory!$D$5,'TCO TO BE - HW'!F36:F44)+'TCO TO BE - HW'!F45+NPV(Faktory!$D$5,'TCO TO BE - HW'!F46:F54)+'TCO TO BE - HW'!F55+NPV(Faktory!$D$5,'TCO TO BE - HW'!F56:F64)+'TCO TO BE - HW'!F65+NPV(Faktory!$D$5,'TCO TO BE - HW'!F66:F74)+'TCO TO BE - HW'!F75+NPV(Faktory!$D$5,'TCO TO BE - HW'!F76:F84))</f>
        <v>6293.8581634116345</v>
      </c>
      <c r="E12" s="565" t="e">
        <f>('TCO TO BE - HW'!#REF!+NPV(Faktory!$D$5,'TCO TO BE - HW'!#REF!)+'TCO TO BE - HW'!#REF!+NPV(Faktory!$D$5,'TCO TO BE - HW'!#REF!)+'TCO TO BE - HW'!#REF!+NPV(Faktory!$D$5,'TCO TO BE - HW'!#REF!)+'TCO TO BE - HW'!#REF!+NPV(Faktory!$D$5,'TCO TO BE - HW'!#REF!)+'TCO TO BE - HW'!#REF!+NPV(Faktory!$D$5,'TCO TO BE - HW'!#REF!))</f>
        <v>#REF!</v>
      </c>
      <c r="F12" s="565">
        <f>('TCO TO BE - HW'!G35+NPV(Faktory!$D$5,'TCO TO BE - HW'!G36:G44)+'TCO TO BE - HW'!G45+NPV(Faktory!$D$5,'TCO TO BE - HW'!G46:G54)+'TCO TO BE - HW'!G55+NPV(Faktory!$D$5,'TCO TO BE - HW'!G56:G64)+'TCO TO BE - HW'!G65+NPV(Faktory!$D$5,'TCO TO BE - HW'!G66:G74)+'TCO TO BE - HW'!G75+NPV(Faktory!$D$5,'TCO TO BE - HW'!G76:G84))</f>
        <v>6293.8581634116345</v>
      </c>
      <c r="G12" s="565">
        <f>('TCO TO BE - HW'!H35+NPV(Faktory!$D$5,'TCO TO BE - HW'!H36:H44)+'TCO TO BE - HW'!H45+NPV(Faktory!$D$5,'TCO TO BE - HW'!H46:H54)+'TCO TO BE - HW'!H55+NPV(Faktory!$D$5,'TCO TO BE - HW'!H56:H64)+'TCO TO BE - HW'!H65+NPV(Faktory!$D$5,'TCO TO BE - HW'!H66:H74)+'TCO TO BE - HW'!H75+NPV(Faktory!$D$5,'TCO TO BE - HW'!H76:H84))</f>
        <v>6293.8581634116345</v>
      </c>
      <c r="H12" s="568" t="s">
        <v>229</v>
      </c>
      <c r="I12" s="567" t="e">
        <f t="shared" si="0"/>
        <v>#REF!</v>
      </c>
      <c r="M12" s="374"/>
      <c r="N12" s="375"/>
      <c r="O12" s="376" t="s">
        <v>66</v>
      </c>
      <c r="P12" s="565">
        <f>'TCO TO BE - HW'!F34</f>
        <v>7440</v>
      </c>
      <c r="Q12" s="565" t="e">
        <f>'TCO TO BE - HW'!#REF!</f>
        <v>#REF!</v>
      </c>
      <c r="R12" s="565">
        <f>'TCO TO BE - HW'!G34</f>
        <v>7440</v>
      </c>
      <c r="S12" s="565">
        <f>'TCO TO BE - HW'!H34</f>
        <v>7440</v>
      </c>
      <c r="T12" s="568" t="s">
        <v>229</v>
      </c>
      <c r="U12" s="567" t="e">
        <f t="shared" si="1"/>
        <v>#REF!</v>
      </c>
    </row>
    <row r="13" spans="1:21" x14ac:dyDescent="0.25">
      <c r="A13" s="374"/>
      <c r="B13" s="372" t="s">
        <v>330</v>
      </c>
      <c r="C13" s="373"/>
      <c r="D13" s="640">
        <f>'TCO TO BE- SW'!F130+NPV(0.05,'TCO TO BE- SW'!F131:F139)+'TCO TO BE- SW'!F140+NPV(0.05,'TCO TO BE- SW'!F141:F149)</f>
        <v>5275.6920672674469</v>
      </c>
      <c r="E13" s="640" t="e">
        <f>'TCO TO BE- SW'!#REF!+NPV(0.05,'TCO TO BE- SW'!#REF!)+'TCO TO BE- SW'!#REF!+NPV(0.05,'TCO TO BE- SW'!#REF!)</f>
        <v>#REF!</v>
      </c>
      <c r="F13" s="640">
        <f>'TCO TO BE- SW'!G130+NPV(0.05,'TCO TO BE- SW'!G131:G139)+'TCO TO BE- SW'!G140+NPV(0.05,'TCO TO BE- SW'!G141:G149)</f>
        <v>5275.6920672674469</v>
      </c>
      <c r="G13" s="641">
        <f>'TCO TO BE- SW'!I130+NPV(0.05,'TCO TO BE- SW'!I131:I139)+'TCO TO BE- SW'!I140+NPV(0.05,'TCO TO BE- SW'!I141:I149)</f>
        <v>5275.6920672674469</v>
      </c>
      <c r="H13" s="640">
        <f>'TCO TO BE- SW'!M130+NPV(0.05,'TCO TO BE- SW'!M131:M139)+'TCO TO BE- SW'!M140+NPV(0.05,'TCO TO BE- SW'!M141:M149)</f>
        <v>0</v>
      </c>
      <c r="I13" s="564" t="e">
        <f>SUM(D13:H13)</f>
        <v>#REF!</v>
      </c>
      <c r="M13" s="374"/>
      <c r="N13" s="372" t="s">
        <v>330</v>
      </c>
      <c r="O13" s="373"/>
      <c r="P13" s="640">
        <f>'TCO TO BE- SW'!F129</f>
        <v>6200</v>
      </c>
      <c r="Q13" s="640" t="e">
        <f>'TCO TO BE- SW'!#REF!</f>
        <v>#REF!</v>
      </c>
      <c r="R13" s="640">
        <f>'TCO TO BE- SW'!G129</f>
        <v>6200</v>
      </c>
      <c r="S13" s="641">
        <f>'TCO TO BE- SW'!I129</f>
        <v>6200</v>
      </c>
      <c r="T13" s="640">
        <f>'TCO TO BE- SW'!M129</f>
        <v>0</v>
      </c>
      <c r="U13" s="564" t="e">
        <f>SUM(P13:T13)</f>
        <v>#REF!</v>
      </c>
    </row>
    <row r="14" spans="1:21" x14ac:dyDescent="0.25">
      <c r="A14" s="374"/>
      <c r="B14" s="372" t="s">
        <v>363</v>
      </c>
      <c r="C14" s="373"/>
      <c r="D14" s="640">
        <f>'TCO TO BE- SW'!F151+NPV(0.05,'TCO TO BE- SW'!F152:F160)+'TCO TO BE- SW'!F161+NPV(0.05,'TCO TO BE- SW'!F162:F170)</f>
        <v>0</v>
      </c>
      <c r="E14" s="640" t="e">
        <f>'TCO TO BE- SW'!#REF!+NPV(0.05,'TCO TO BE- SW'!#REF!)+'TCO TO BE- SW'!#REF!+NPV(0.05,'TCO TO BE- SW'!#REF!)</f>
        <v>#REF!</v>
      </c>
      <c r="F14" s="640">
        <f>'TCO TO BE- SW'!G151+NPV(0.05,'TCO TO BE- SW'!G152:G160)+'TCO TO BE- SW'!G161+NPV(0.05,'TCO TO BE- SW'!G162:G170)</f>
        <v>0</v>
      </c>
      <c r="G14" s="641">
        <f>'TCO TO BE- SW'!I151+NPV(0.05,'TCO TO BE- SW'!I152:I160)+'TCO TO BE- SW'!I161+NPV(0.05,'TCO TO BE- SW'!I162:I170)</f>
        <v>0</v>
      </c>
      <c r="H14" s="640">
        <f>'TCO TO BE- SW'!M151+NPV(0.05,'TCO TO BE- SW'!M152:M160)+'TCO TO BE- SW'!M161+NPV(0.05,'TCO TO BE- SW'!M162:M170)</f>
        <v>0</v>
      </c>
      <c r="I14" s="564" t="e">
        <f>SUM(D14:H14)</f>
        <v>#REF!</v>
      </c>
      <c r="M14" s="374"/>
      <c r="N14" s="372" t="s">
        <v>363</v>
      </c>
      <c r="O14" s="373"/>
      <c r="P14" s="640">
        <f>'TCO TO BE- SW'!F150</f>
        <v>0</v>
      </c>
      <c r="Q14" s="640" t="e">
        <f>'TCO TO BE- SW'!#REF!</f>
        <v>#REF!</v>
      </c>
      <c r="R14" s="640">
        <f>'TCO TO BE- SW'!G150</f>
        <v>0</v>
      </c>
      <c r="S14" s="641">
        <f>'TCO TO BE- SW'!I150</f>
        <v>0</v>
      </c>
      <c r="T14" s="640">
        <f>'TCO TO BE- SW'!M150</f>
        <v>0</v>
      </c>
      <c r="U14" s="564" t="e">
        <f>SUM(P14:T14)</f>
        <v>#REF!</v>
      </c>
    </row>
    <row r="15" spans="1:21" x14ac:dyDescent="0.25">
      <c r="A15" s="366" t="s">
        <v>223</v>
      </c>
      <c r="B15" s="367"/>
      <c r="C15" s="368"/>
      <c r="D15" s="559">
        <f>D16+D19</f>
        <v>14838144.117259117</v>
      </c>
      <c r="E15" s="559">
        <f>E16+E19</f>
        <v>9503538.2214407772</v>
      </c>
      <c r="F15" s="559">
        <f>F16+F19</f>
        <v>9217506.3022361305</v>
      </c>
      <c r="G15" s="560">
        <f>G16+G19</f>
        <v>129851.43536073512</v>
      </c>
      <c r="H15" s="639" t="s">
        <v>229</v>
      </c>
      <c r="I15" s="561">
        <f t="shared" si="0"/>
        <v>33689040.076296762</v>
      </c>
      <c r="M15" s="366" t="s">
        <v>223</v>
      </c>
      <c r="N15" s="367"/>
      <c r="O15" s="368"/>
      <c r="P15" s="369">
        <f>P16+P19</f>
        <v>20512000</v>
      </c>
      <c r="Q15" s="369">
        <f>Q16+Q19</f>
        <v>12796000</v>
      </c>
      <c r="R15" s="369">
        <f>R16+R19</f>
        <v>12704762.5</v>
      </c>
      <c r="S15" s="370">
        <f>S16+S19</f>
        <v>161466.12965517241</v>
      </c>
      <c r="T15" s="639" t="s">
        <v>229</v>
      </c>
      <c r="U15" s="538">
        <f t="shared" si="1"/>
        <v>46174228.629655175</v>
      </c>
    </row>
    <row r="16" spans="1:21" x14ac:dyDescent="0.25">
      <c r="A16" s="371"/>
      <c r="B16" s="372" t="s">
        <v>17</v>
      </c>
      <c r="C16" s="373"/>
      <c r="D16" s="562">
        <f>D17+D18</f>
        <v>-5211165.4070280474</v>
      </c>
      <c r="E16" s="562">
        <f>E17+E18</f>
        <v>-521116.54070280469</v>
      </c>
      <c r="F16" s="562">
        <f>F17+F18</f>
        <v>2561430.5766528235</v>
      </c>
      <c r="G16" s="563">
        <f>G17+G18</f>
        <v>-2013.4069791139227</v>
      </c>
      <c r="H16" s="637" t="s">
        <v>229</v>
      </c>
      <c r="I16" s="564">
        <f t="shared" si="0"/>
        <v>-3172864.7780571426</v>
      </c>
      <c r="M16" s="371"/>
      <c r="N16" s="372" t="s">
        <v>17</v>
      </c>
      <c r="O16" s="373"/>
      <c r="P16" s="562">
        <f>P17+P18</f>
        <v>-6350000</v>
      </c>
      <c r="Q16" s="562">
        <f>Q17+Q18</f>
        <v>-635000</v>
      </c>
      <c r="R16" s="562">
        <f>R17+R18</f>
        <v>3365500</v>
      </c>
      <c r="S16" s="563">
        <f>S17+S18</f>
        <v>-2400</v>
      </c>
      <c r="T16" s="637" t="s">
        <v>229</v>
      </c>
      <c r="U16" s="564">
        <f t="shared" si="1"/>
        <v>-3621900</v>
      </c>
    </row>
    <row r="17" spans="1:22" x14ac:dyDescent="0.25">
      <c r="A17" s="374"/>
      <c r="B17" s="375"/>
      <c r="C17" s="376" t="s">
        <v>47</v>
      </c>
      <c r="D17" s="565">
        <f>'Parametre - Agendové IS'!I117+NPV(Faktory!$D$3,'Parametre - Agendové IS'!I118:I126)</f>
        <v>-5211165.4070280474</v>
      </c>
      <c r="E17" s="565">
        <f>'Parametre - Agendové IS'!L117+NPV(Faktory!$D$3,'Parametre - Agendové IS'!L118:L126)</f>
        <v>-521116.54070280469</v>
      </c>
      <c r="F17" s="565">
        <f>'Parametre - Agendové IS'!O117+NPV(Faktory!$D$3,'Parametre - Agendové IS'!O118:O126)</f>
        <v>2561430.5766528235</v>
      </c>
      <c r="G17" s="566">
        <f>'Parametre - Agendové IS'!R117+NPV(Faktory!$D$3,'Parametre - Agendové IS'!R118:R126)</f>
        <v>-2013.4069791139227</v>
      </c>
      <c r="H17" s="568" t="s">
        <v>229</v>
      </c>
      <c r="I17" s="567">
        <f t="shared" si="0"/>
        <v>-3172864.7780571426</v>
      </c>
      <c r="M17" s="374"/>
      <c r="N17" s="375"/>
      <c r="O17" s="376" t="s">
        <v>47</v>
      </c>
      <c r="P17" s="565">
        <f>SUM('Parametre - Agendové IS'!I117:I126)</f>
        <v>-6350000</v>
      </c>
      <c r="Q17" s="565">
        <f>SUM('Parametre - Agendové IS'!L117:L126)</f>
        <v>-635000</v>
      </c>
      <c r="R17" s="565">
        <f>SUM('Parametre - Agendové IS'!O117:O126)</f>
        <v>3365500</v>
      </c>
      <c r="S17" s="566">
        <f>SUM('Parametre - Agendové IS'!R117:R126)</f>
        <v>-2400</v>
      </c>
      <c r="T17" s="568" t="s">
        <v>229</v>
      </c>
      <c r="U17" s="567">
        <f t="shared" si="1"/>
        <v>-3621900</v>
      </c>
    </row>
    <row r="18" spans="1:22" x14ac:dyDescent="0.25">
      <c r="A18" s="374"/>
      <c r="B18" s="375"/>
      <c r="C18" s="376" t="s">
        <v>48</v>
      </c>
      <c r="D18" s="565"/>
      <c r="E18" s="565"/>
      <c r="F18" s="565"/>
      <c r="G18" s="566"/>
      <c r="H18" s="568" t="s">
        <v>229</v>
      </c>
      <c r="I18" s="567">
        <f>'Prínosy - Agendové IS'!G15</f>
        <v>0</v>
      </c>
      <c r="J18" s="539"/>
      <c r="M18" s="374"/>
      <c r="N18" s="375"/>
      <c r="O18" s="376" t="s">
        <v>48</v>
      </c>
      <c r="P18" s="565"/>
      <c r="Q18" s="565"/>
      <c r="R18" s="565"/>
      <c r="S18" s="566"/>
      <c r="T18" s="568" t="s">
        <v>229</v>
      </c>
      <c r="U18" s="567">
        <f>'Prínosy - Agendové IS'!G14</f>
        <v>0</v>
      </c>
      <c r="V18" s="539"/>
    </row>
    <row r="19" spans="1:22" x14ac:dyDescent="0.25">
      <c r="A19" s="371"/>
      <c r="B19" s="372" t="s">
        <v>18</v>
      </c>
      <c r="C19" s="373"/>
      <c r="D19" s="562">
        <f>D20+D21+D23</f>
        <v>20049309.524287164</v>
      </c>
      <c r="E19" s="562">
        <f>E20+E21+E23</f>
        <v>10024654.762143582</v>
      </c>
      <c r="F19" s="562">
        <f>F20+F21+F23</f>
        <v>6656075.7255833074</v>
      </c>
      <c r="G19" s="563">
        <f>G20+G21+G23</f>
        <v>131864.84233984904</v>
      </c>
      <c r="H19" s="637" t="s">
        <v>229</v>
      </c>
      <c r="I19" s="564">
        <f>SUM(D19:G19)</f>
        <v>36861904.854353905</v>
      </c>
      <c r="M19" s="371"/>
      <c r="N19" s="372" t="s">
        <v>18</v>
      </c>
      <c r="O19" s="373"/>
      <c r="P19" s="562">
        <f>P20+P21+P23</f>
        <v>26862000</v>
      </c>
      <c r="Q19" s="562">
        <f>Q20+Q21+Q23</f>
        <v>13431000</v>
      </c>
      <c r="R19" s="562">
        <f>R20+R21+R23</f>
        <v>9339262.5</v>
      </c>
      <c r="S19" s="563">
        <f>S20+S21+S23</f>
        <v>163866.12965517241</v>
      </c>
      <c r="T19" s="637" t="s">
        <v>229</v>
      </c>
      <c r="U19" s="564">
        <f t="shared" si="1"/>
        <v>49796128.629655175</v>
      </c>
    </row>
    <row r="20" spans="1:22" x14ac:dyDescent="0.25">
      <c r="A20" s="374"/>
      <c r="B20" s="375"/>
      <c r="C20" s="376" t="s">
        <v>225</v>
      </c>
      <c r="D20" s="565">
        <f>'Parametre - Agendové IS'!I97+NPV(Faktory!$D$5,'Parametre - Agendové IS'!I98:I106)</f>
        <v>20049309.524287164</v>
      </c>
      <c r="E20" s="565">
        <f>'Parametre - Agendové IS'!L97+NPV(Faktory!$D$5,'Parametre - Agendové IS'!L98:L106)</f>
        <v>10024654.762143582</v>
      </c>
      <c r="F20" s="565">
        <f>'Parametre - Agendové IS'!O97+NPV(Faktory!$D$5,'Parametre - Agendové IS'!O98:O106)</f>
        <v>6656075.7255833074</v>
      </c>
      <c r="G20" s="566">
        <f>'Parametre - Agendové IS'!R97+NPV(Faktory!$D$5,'Parametre - Agendové IS'!R98:R106)</f>
        <v>0</v>
      </c>
      <c r="H20" s="568" t="s">
        <v>229</v>
      </c>
      <c r="I20" s="567">
        <f>SUM(D20:G20)</f>
        <v>36730040.012014054</v>
      </c>
      <c r="M20" s="374"/>
      <c r="N20" s="375"/>
      <c r="O20" s="376" t="s">
        <v>225</v>
      </c>
      <c r="P20" s="565">
        <f>SUM('Parametre - Agendové IS'!I97:I106)</f>
        <v>26862000</v>
      </c>
      <c r="Q20" s="565">
        <f>SUM('Parametre - Agendové IS'!L97:L106)</f>
        <v>13431000</v>
      </c>
      <c r="R20" s="565">
        <f>SUM('Parametre - Agendové IS'!O97:O106)</f>
        <v>9339262.5</v>
      </c>
      <c r="S20" s="566">
        <f>SUM('Parametre - Agendové IS'!R97:R106)</f>
        <v>0</v>
      </c>
      <c r="T20" s="568" t="s">
        <v>229</v>
      </c>
      <c r="U20" s="567">
        <f t="shared" si="1"/>
        <v>49632262.5</v>
      </c>
    </row>
    <row r="21" spans="1:22" x14ac:dyDescent="0.25">
      <c r="A21" s="374"/>
      <c r="B21" s="375"/>
      <c r="C21" s="376" t="s">
        <v>224</v>
      </c>
      <c r="D21" s="565">
        <f>-('Parametre - Agendové IS'!I77+NPV(Faktory!$D$5,'Parametre - Agendové IS'!I78:I86))</f>
        <v>0</v>
      </c>
      <c r="E21" s="565">
        <f>-('Parametre - Agendové IS'!L77+NPV(Faktory!$D$5,'Parametre - Agendové IS'!L78:L86))</f>
        <v>0</v>
      </c>
      <c r="F21" s="565">
        <f>-('Parametre - Agendové IS'!O77+NPV(Faktory!$D$5,'Parametre - Agendové IS'!O78:O86))</f>
        <v>0</v>
      </c>
      <c r="G21" s="566">
        <f>-('Parametre - Agendové IS'!R77+NPV(Faktory!$D$5,'Parametre - Agendové IS'!R78:R86))</f>
        <v>131864.84233984904</v>
      </c>
      <c r="H21" s="568" t="s">
        <v>229</v>
      </c>
      <c r="I21" s="567">
        <f>SUM(D21:G21)</f>
        <v>131864.84233984904</v>
      </c>
      <c r="M21" s="374"/>
      <c r="N21" s="375"/>
      <c r="O21" s="376" t="s">
        <v>224</v>
      </c>
      <c r="P21" s="565">
        <f>-(SUM('Parametre - Agendové IS'!I77:I86))</f>
        <v>0</v>
      </c>
      <c r="Q21" s="565">
        <f>-(SUM('Parametre - Agendové IS'!L77:L86))</f>
        <v>0</v>
      </c>
      <c r="R21" s="565">
        <f>-(SUM('Parametre - Agendové IS'!O77:O86))</f>
        <v>0</v>
      </c>
      <c r="S21" s="566">
        <f>-(SUM('Parametre - Agendové IS'!R77:R86))</f>
        <v>163866.12965517241</v>
      </c>
      <c r="T21" s="568" t="s">
        <v>229</v>
      </c>
      <c r="U21" s="567">
        <f t="shared" si="1"/>
        <v>163866.12965517241</v>
      </c>
    </row>
    <row r="22" spans="1:22" x14ac:dyDescent="0.25">
      <c r="A22" s="374"/>
      <c r="B22" s="375"/>
      <c r="C22" s="376" t="s">
        <v>226</v>
      </c>
      <c r="D22" s="568" t="s">
        <v>229</v>
      </c>
      <c r="E22" s="568" t="s">
        <v>229</v>
      </c>
      <c r="F22" s="568" t="s">
        <v>229</v>
      </c>
      <c r="G22" s="569" t="s">
        <v>229</v>
      </c>
      <c r="H22" s="568" t="s">
        <v>229</v>
      </c>
      <c r="I22" s="570" t="s">
        <v>229</v>
      </c>
      <c r="M22" s="374"/>
      <c r="N22" s="375"/>
      <c r="O22" s="376" t="s">
        <v>226</v>
      </c>
      <c r="P22" s="565">
        <f>SUM('Parametre - Agendové IS'!I87:I96)</f>
        <v>0</v>
      </c>
      <c r="Q22" s="565">
        <f>SUM('Parametre - Agendové IS'!L87:L96)</f>
        <v>0</v>
      </c>
      <c r="R22" s="565">
        <f>SUM('Parametre - Agendové IS'!O87:O96)</f>
        <v>0</v>
      </c>
      <c r="S22" s="566">
        <f>SUM('Parametre - Agendové IS'!R87:R96)</f>
        <v>-7.6190476190476186</v>
      </c>
      <c r="T22" s="568" t="s">
        <v>229</v>
      </c>
      <c r="U22" s="567">
        <f t="shared" si="1"/>
        <v>-7.6190476190476186</v>
      </c>
    </row>
    <row r="23" spans="1:22" ht="15.75" thickBot="1" x14ac:dyDescent="0.3">
      <c r="A23" s="377"/>
      <c r="B23" s="378"/>
      <c r="C23" s="379" t="s">
        <v>39</v>
      </c>
      <c r="D23" s="571">
        <f>'Parametre - Agendové IS'!I127+NPV(Faktory!$D$5,'Parametre - Agendové IS'!I128:I136)</f>
        <v>0</v>
      </c>
      <c r="E23" s="571">
        <f>'Parametre - Agendové IS'!L127+NPV(Faktory!$D$5,'Parametre - Agendové IS'!L128:L136)</f>
        <v>0</v>
      </c>
      <c r="F23" s="571">
        <f>'Parametre - Agendové IS'!O127+NPV(Faktory!$D$5,'Parametre - Agendové IS'!O128:O136)</f>
        <v>0</v>
      </c>
      <c r="G23" s="572">
        <f>'Parametre - Agendové IS'!R127+NPV(Faktory!$D$5,'Parametre - Agendové IS'!R128:R136)</f>
        <v>0</v>
      </c>
      <c r="H23" s="638" t="s">
        <v>229</v>
      </c>
      <c r="I23" s="573">
        <f>SUM(D23:G23)</f>
        <v>0</v>
      </c>
      <c r="M23" s="374"/>
      <c r="N23" s="375"/>
      <c r="O23" s="376" t="s">
        <v>39</v>
      </c>
      <c r="P23" s="565">
        <f>SUM('Parametre - Agendové IS'!I127:I136)</f>
        <v>0</v>
      </c>
      <c r="Q23" s="565">
        <f>SUM('Parametre - Agendové IS'!L127:L136)</f>
        <v>0</v>
      </c>
      <c r="R23" s="565">
        <f>SUM('Parametre - Agendové IS'!O127:O136)</f>
        <v>0</v>
      </c>
      <c r="S23" s="566">
        <f>SUM('Parametre - Agendové IS'!R127:R136)</f>
        <v>0</v>
      </c>
      <c r="T23" s="638" t="s">
        <v>229</v>
      </c>
      <c r="U23" s="574">
        <f t="shared" si="1"/>
        <v>0</v>
      </c>
    </row>
    <row r="24" spans="1:22" x14ac:dyDescent="0.25">
      <c r="A24" s="540"/>
      <c r="B24" s="372" t="s">
        <v>230</v>
      </c>
      <c r="C24" s="373"/>
      <c r="D24" s="635"/>
      <c r="E24" s="636"/>
      <c r="F24" s="636"/>
      <c r="G24" s="636"/>
      <c r="H24" s="642"/>
      <c r="I24" s="643"/>
      <c r="M24" s="540"/>
      <c r="N24" s="372" t="s">
        <v>230</v>
      </c>
      <c r="O24" s="373"/>
      <c r="P24" s="635"/>
      <c r="Q24" s="636"/>
      <c r="R24" s="636"/>
      <c r="S24" s="636"/>
      <c r="T24" s="642"/>
      <c r="U24" s="643"/>
    </row>
    <row r="25" spans="1:22" x14ac:dyDescent="0.25">
      <c r="A25" s="541"/>
      <c r="B25" s="542"/>
      <c r="C25" s="543" t="s">
        <v>234</v>
      </c>
      <c r="D25" s="544"/>
      <c r="E25" s="544"/>
      <c r="F25" s="544"/>
      <c r="G25" s="544"/>
      <c r="H25" s="544"/>
      <c r="I25" s="544"/>
      <c r="M25" s="541"/>
      <c r="N25" s="542"/>
      <c r="O25" s="543" t="s">
        <v>234</v>
      </c>
      <c r="P25" s="544"/>
      <c r="Q25" s="544"/>
      <c r="R25" s="544"/>
      <c r="S25" s="544"/>
      <c r="T25" s="544"/>
      <c r="U25" s="544"/>
    </row>
    <row r="26" spans="1:22" x14ac:dyDescent="0.25">
      <c r="A26" s="541"/>
      <c r="B26" s="542"/>
      <c r="C26" s="545" t="s">
        <v>231</v>
      </c>
      <c r="D26" s="544"/>
      <c r="E26" s="544"/>
      <c r="F26" s="544"/>
      <c r="G26" s="544"/>
      <c r="H26" s="544"/>
      <c r="I26" s="544"/>
      <c r="M26" s="541"/>
      <c r="N26" s="542"/>
      <c r="O26" s="545" t="s">
        <v>231</v>
      </c>
      <c r="P26" s="544"/>
      <c r="Q26" s="544"/>
      <c r="R26" s="544"/>
      <c r="S26" s="544"/>
      <c r="T26" s="544"/>
      <c r="U26" s="544"/>
    </row>
    <row r="27" spans="1:22" x14ac:dyDescent="0.25">
      <c r="A27" s="541"/>
      <c r="B27" s="542"/>
      <c r="C27" s="545" t="s">
        <v>231</v>
      </c>
      <c r="D27" s="544"/>
      <c r="E27" s="544"/>
      <c r="F27" s="544"/>
      <c r="G27" s="544"/>
      <c r="H27" s="544"/>
      <c r="I27" s="544"/>
      <c r="M27" s="541"/>
      <c r="N27" s="542"/>
      <c r="O27" s="545" t="s">
        <v>231</v>
      </c>
      <c r="P27" s="544"/>
      <c r="Q27" s="544"/>
      <c r="R27" s="544"/>
      <c r="S27" s="544"/>
      <c r="T27" s="544"/>
      <c r="U27" s="544"/>
    </row>
    <row r="28" spans="1:22" x14ac:dyDescent="0.25">
      <c r="C28" s="546"/>
      <c r="O28" s="546"/>
    </row>
    <row r="29" spans="1:22" x14ac:dyDescent="0.25">
      <c r="C29" s="546"/>
      <c r="O29" s="546"/>
    </row>
    <row r="30" spans="1:22" x14ac:dyDescent="0.25">
      <c r="C30" s="546"/>
    </row>
    <row r="32" spans="1:22" x14ac:dyDescent="0.25">
      <c r="L32" s="547"/>
      <c r="M32" s="547"/>
    </row>
  </sheetData>
  <sheetProtection insertColumns="0" insertRows="0" deleteColumns="0" deleteRows="0"/>
  <mergeCells count="4">
    <mergeCell ref="M1:O1"/>
    <mergeCell ref="A1:C1"/>
    <mergeCell ref="M2:O2"/>
    <mergeCell ref="A2:C2"/>
  </mergeCells>
  <pageMargins left="0.7" right="0.7" top="0.75" bottom="0.75" header="0.3" footer="0.3"/>
  <pageSetup paperSize="9" scale="53" orientation="portrait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view="pageBreakPreview" zoomScale="60" zoomScaleNormal="100" workbookViewId="0">
      <selection activeCell="C4" sqref="C4"/>
    </sheetView>
  </sheetViews>
  <sheetFormatPr defaultColWidth="8.85546875" defaultRowHeight="15" x14ac:dyDescent="0.25"/>
  <cols>
    <col min="1" max="1" width="9.28515625" customWidth="1"/>
    <col min="2" max="2" width="15" customWidth="1"/>
    <col min="3" max="3" width="15.140625" customWidth="1"/>
    <col min="4" max="4" width="14.140625" customWidth="1"/>
    <col min="5" max="5" width="14.42578125" customWidth="1"/>
    <col min="6" max="6" width="15.140625" customWidth="1"/>
    <col min="7" max="7" width="13.7109375" customWidth="1"/>
    <col min="8" max="8" width="9.85546875" customWidth="1"/>
    <col min="9" max="9" width="22.7109375" customWidth="1"/>
    <col min="10" max="10" width="22.140625" customWidth="1"/>
    <col min="11" max="11" width="20.42578125" customWidth="1"/>
    <col min="12" max="12" width="23.140625" customWidth="1"/>
  </cols>
  <sheetData>
    <row r="1" spans="1:12" ht="15.75" thickBot="1" x14ac:dyDescent="0.3">
      <c r="A1" s="9"/>
      <c r="B1" s="695" t="s">
        <v>36</v>
      </c>
      <c r="C1" s="696"/>
      <c r="D1" s="696"/>
      <c r="E1" s="696"/>
      <c r="F1" s="696"/>
      <c r="G1" s="697"/>
      <c r="H1" s="698" t="s">
        <v>16</v>
      </c>
      <c r="I1" s="699"/>
      <c r="J1" s="699"/>
      <c r="K1" s="699"/>
      <c r="L1" s="700"/>
    </row>
    <row r="2" spans="1:12" ht="30" x14ac:dyDescent="0.25">
      <c r="A2" s="10"/>
      <c r="B2" s="698" t="s">
        <v>379</v>
      </c>
      <c r="C2" s="699"/>
      <c r="D2" s="700"/>
      <c r="E2" s="698" t="s">
        <v>380</v>
      </c>
      <c r="F2" s="699"/>
      <c r="G2" s="700"/>
      <c r="H2" s="54" t="s">
        <v>19</v>
      </c>
      <c r="I2" s="49" t="s">
        <v>20</v>
      </c>
      <c r="J2" s="12" t="s">
        <v>21</v>
      </c>
      <c r="K2" s="701" t="s">
        <v>22</v>
      </c>
      <c r="L2" s="702"/>
    </row>
    <row r="3" spans="1:12" ht="15.75" thickBot="1" x14ac:dyDescent="0.3">
      <c r="A3" s="11" t="s">
        <v>23</v>
      </c>
      <c r="B3" s="14" t="s">
        <v>237</v>
      </c>
      <c r="C3" s="15" t="s">
        <v>176</v>
      </c>
      <c r="D3" s="16" t="s">
        <v>24</v>
      </c>
      <c r="E3" s="14" t="s">
        <v>237</v>
      </c>
      <c r="F3" s="15" t="s">
        <v>176</v>
      </c>
      <c r="G3" s="16" t="s">
        <v>24</v>
      </c>
      <c r="H3" s="55"/>
      <c r="I3" s="50"/>
      <c r="J3" s="13"/>
      <c r="K3" s="693"/>
      <c r="L3" s="694"/>
    </row>
    <row r="4" spans="1:12" x14ac:dyDescent="0.25">
      <c r="A4" s="48" t="s">
        <v>25</v>
      </c>
      <c r="B4" s="27">
        <f>'Prínosy - Agendové IS'!Q4-'Výdavky - Agendové IS'!T4</f>
        <v>242110</v>
      </c>
      <c r="C4" s="26">
        <f>'Prínosy - Agendové IS'!R4-'Výdavky - Agendové IS'!U4</f>
        <v>240710</v>
      </c>
      <c r="D4" s="34">
        <f>C4-B4</f>
        <v>-1400</v>
      </c>
      <c r="E4" s="27">
        <f>'Prínosy - Agendové IS'!T4-('Výdavky - Agendové IS'!T4/1.2)</f>
        <v>-1689306.2950191572</v>
      </c>
      <c r="F4" s="27">
        <f>'Prínosy - Agendové IS'!U4-('Výdavky - Agendové IS'!U4/1.2)</f>
        <v>-1690472.9616858237</v>
      </c>
      <c r="G4" s="34">
        <f t="shared" ref="G4:G13" si="0">F4-E4</f>
        <v>-1166.6666666665114</v>
      </c>
      <c r="H4" s="56">
        <v>0</v>
      </c>
      <c r="I4" s="51">
        <f>D4*(1/(1+Faktory!$D$3)^H4)</f>
        <v>-1400</v>
      </c>
      <c r="J4" s="58">
        <f>G4*(1/(1+Faktory!$D$5)^H4)</f>
        <v>-1166.6666666665114</v>
      </c>
      <c r="K4" s="57">
        <f>J4</f>
        <v>-1166.6666666665114</v>
      </c>
      <c r="L4" s="31" t="str">
        <f>IF(K4&gt;0,"Rok návratu investície","&lt;")</f>
        <v>&lt;</v>
      </c>
    </row>
    <row r="5" spans="1:12" x14ac:dyDescent="0.25">
      <c r="A5" s="33" t="s">
        <v>26</v>
      </c>
      <c r="B5" s="27">
        <f>'Prínosy - Agendové IS'!Q5-'Výdavky - Agendové IS'!T5</f>
        <v>302632</v>
      </c>
      <c r="C5" s="26">
        <f>'Prínosy - Agendové IS'!R5-'Výdavky - Agendové IS'!U5</f>
        <v>-677966.12000000011</v>
      </c>
      <c r="D5" s="29">
        <f t="shared" ref="D5:D13" si="1">C5-B5</f>
        <v>-980598.12000000011</v>
      </c>
      <c r="E5" s="27">
        <f>'Prínosy - Agendové IS'!T5-('Výdavky - Agendové IS'!T5/1.2)</f>
        <v>-2108750.8873563218</v>
      </c>
      <c r="F5" s="27">
        <f>'Prínosy - Agendové IS'!U5-('Výdavky - Agendové IS'!U5/1.2)</f>
        <v>-3200915.9873563219</v>
      </c>
      <c r="G5" s="29">
        <f t="shared" si="0"/>
        <v>-1092165.1000000001</v>
      </c>
      <c r="H5" s="56">
        <v>1</v>
      </c>
      <c r="I5" s="52">
        <f>D5*(1/(1+Faktory!$D$3)^H5)</f>
        <v>-942882.80769230775</v>
      </c>
      <c r="J5" s="59">
        <f>G5*(1/(1+Faktory!$D$5)^H5)</f>
        <v>-1040157.2380952381</v>
      </c>
      <c r="K5" s="57">
        <f>J5+K4</f>
        <v>-1041323.9047619046</v>
      </c>
      <c r="L5" s="31" t="str">
        <f>IF(L4="&lt;",IF(K5&gt;0,"Rok návratu investície","&lt;"),"&gt;")</f>
        <v>&lt;</v>
      </c>
    </row>
    <row r="6" spans="1:12" x14ac:dyDescent="0.25">
      <c r="A6" s="33" t="s">
        <v>27</v>
      </c>
      <c r="B6" s="27">
        <f>'Prínosy - Agendové IS'!Q6-'Výdavky - Agendové IS'!T6</f>
        <v>363132</v>
      </c>
      <c r="C6" s="26">
        <f>'Prínosy - Agendové IS'!R6-'Výdavky - Agendové IS'!U6</f>
        <v>1259940</v>
      </c>
      <c r="D6" s="29">
        <f t="shared" si="1"/>
        <v>896808</v>
      </c>
      <c r="E6" s="27">
        <f>'Prínosy - Agendové IS'!T6-('Výdavky - Agendové IS'!T6/1.2)</f>
        <v>-2516667.5540229883</v>
      </c>
      <c r="F6" s="27">
        <f>'Prínosy - Agendové IS'!U6-('Výdavky - Agendové IS'!U6/1.2)</f>
        <v>2294784.8117241375</v>
      </c>
      <c r="G6" s="29">
        <f t="shared" si="0"/>
        <v>4811452.3657471258</v>
      </c>
      <c r="H6" s="56">
        <v>2</v>
      </c>
      <c r="I6" s="52">
        <f>D6*(1/(1+Faktory!$D$3)^H6)</f>
        <v>829149.40828402352</v>
      </c>
      <c r="J6" s="59">
        <f>G6*(1/(1+Faktory!$D$5)^H6)</f>
        <v>4364129.1299293656</v>
      </c>
      <c r="K6" s="57">
        <f t="shared" ref="K6:K13" si="2">J6+K5</f>
        <v>3322805.2251674607</v>
      </c>
      <c r="L6" s="31" t="str">
        <f t="shared" ref="L6:L13" si="3">IF(L5="&lt;",IF(K6&gt;0,"Rok návratu investície","&lt;"),"&gt;")</f>
        <v>Rok návratu investície</v>
      </c>
    </row>
    <row r="7" spans="1:12" x14ac:dyDescent="0.25">
      <c r="A7" s="33" t="s">
        <v>28</v>
      </c>
      <c r="B7" s="27">
        <f>'Prínosy - Agendové IS'!Q7-'Výdavky - Agendové IS'!T7</f>
        <v>423599</v>
      </c>
      <c r="C7" s="26">
        <f>'Prínosy - Agendové IS'!R7-'Výdavky - Agendové IS'!U7</f>
        <v>1653750</v>
      </c>
      <c r="D7" s="29">
        <f t="shared" si="1"/>
        <v>1230151</v>
      </c>
      <c r="E7" s="27">
        <f>'Prínosy - Agendové IS'!T7-('Výdavky - Agendové IS'!T7/1.2)</f>
        <v>-2907292.3321839082</v>
      </c>
      <c r="F7" s="27">
        <f>'Prínosy - Agendové IS'!U7-('Výdavky - Agendové IS'!U7/1.2)</f>
        <v>2891741.7337931036</v>
      </c>
      <c r="G7" s="29">
        <f t="shared" si="0"/>
        <v>5799034.0659770118</v>
      </c>
      <c r="H7" s="56">
        <v>3</v>
      </c>
      <c r="I7" s="52">
        <f>D7*(1/(1+Faktory!$D$3)^H7)</f>
        <v>1093599.7596153845</v>
      </c>
      <c r="J7" s="59">
        <f>G7*(1/(1+Faktory!$D$5)^H7)</f>
        <v>5009423.6613558028</v>
      </c>
      <c r="K7" s="57">
        <f t="shared" si="2"/>
        <v>8332228.8865232635</v>
      </c>
      <c r="L7" s="31" t="str">
        <f t="shared" si="3"/>
        <v>&gt;</v>
      </c>
    </row>
    <row r="8" spans="1:12" x14ac:dyDescent="0.25">
      <c r="A8" s="33" t="s">
        <v>29</v>
      </c>
      <c r="B8" s="27">
        <f>'Prínosy - Agendové IS'!Q8-'Výdavky - Agendové IS'!T8</f>
        <v>484066</v>
      </c>
      <c r="C8" s="26">
        <f>'Prínosy - Agendové IS'!R8-'Výdavky - Agendové IS'!U8</f>
        <v>2071710</v>
      </c>
      <c r="D8" s="29">
        <f t="shared" si="1"/>
        <v>1587644</v>
      </c>
      <c r="E8" s="27">
        <f>'Prínosy - Agendové IS'!T8-('Výdavky - Agendové IS'!T8/1.2)</f>
        <v>-3297917.1103448276</v>
      </c>
      <c r="F8" s="27">
        <f>'Prínosy - Agendové IS'!U8-('Výdavky - Agendové IS'!U8/1.2)</f>
        <v>3531475.7391954027</v>
      </c>
      <c r="G8" s="29">
        <f t="shared" si="0"/>
        <v>6829392.8495402299</v>
      </c>
      <c r="H8" s="56">
        <v>4</v>
      </c>
      <c r="I8" s="52">
        <f>D8*(1/(1+Faktory!$D$3)^H8)</f>
        <v>1357124.7450631978</v>
      </c>
      <c r="J8" s="59">
        <f>G8*(1/(1+Faktory!$D$5)^H8)</f>
        <v>5618558.39864273</v>
      </c>
      <c r="K8" s="57">
        <f t="shared" si="2"/>
        <v>13950787.285165993</v>
      </c>
      <c r="L8" s="31" t="str">
        <f t="shared" si="3"/>
        <v>&gt;</v>
      </c>
    </row>
    <row r="9" spans="1:12" x14ac:dyDescent="0.25">
      <c r="A9" s="33" t="s">
        <v>30</v>
      </c>
      <c r="B9" s="27">
        <f>'Prínosy - Agendové IS'!Q9-'Výdavky - Agendové IS'!T9</f>
        <v>544555</v>
      </c>
      <c r="C9" s="26">
        <f>'Prínosy - Agendové IS'!R9-'Výdavky - Agendové IS'!U9</f>
        <v>2532030</v>
      </c>
      <c r="D9" s="29">
        <f t="shared" si="1"/>
        <v>1987475</v>
      </c>
      <c r="E9" s="27">
        <f>'Prínosy - Agendové IS'!T9-('Výdavky - Agendové IS'!T9/1.2)</f>
        <v>-3700069.8141762456</v>
      </c>
      <c r="F9" s="27">
        <f>'Prínosy - Agendové IS'!U9-('Výdavky - Agendové IS'!U9/1.2)</f>
        <v>4227762.074329501</v>
      </c>
      <c r="G9" s="29">
        <f t="shared" si="0"/>
        <v>7927831.8885057466</v>
      </c>
      <c r="H9" s="56">
        <v>5</v>
      </c>
      <c r="I9" s="52">
        <f>D9*(1/(1+Faktory!$D$3)^H9)</f>
        <v>1633559.5765065423</v>
      </c>
      <c r="J9" s="59">
        <f>G9*(1/(1+Faktory!$D$5)^H9)</f>
        <v>6211663.728007311</v>
      </c>
      <c r="K9" s="57">
        <f t="shared" si="2"/>
        <v>20162451.013173304</v>
      </c>
      <c r="L9" s="31" t="str">
        <f t="shared" si="3"/>
        <v>&gt;</v>
      </c>
    </row>
    <row r="10" spans="1:12" x14ac:dyDescent="0.25">
      <c r="A10" s="33" t="s">
        <v>31</v>
      </c>
      <c r="B10" s="27">
        <f>'Prínosy - Agendové IS'!Q10-'Výdavky - Agendové IS'!T10</f>
        <v>605044</v>
      </c>
      <c r="C10" s="26">
        <f>'Prínosy - Agendové IS'!R10-'Výdavky - Agendové IS'!U10</f>
        <v>2999850</v>
      </c>
      <c r="D10" s="29">
        <f t="shared" si="1"/>
        <v>2394806</v>
      </c>
      <c r="E10" s="27">
        <f>'Prínosy - Agendové IS'!T10-('Výdavky - Agendové IS'!T10/1.2)</f>
        <v>-4102222.5180076631</v>
      </c>
      <c r="F10" s="27">
        <f>'Prínosy - Agendové IS'!U10-('Výdavky - Agendové IS'!U10/1.2)</f>
        <v>4954569.2427969351</v>
      </c>
      <c r="G10" s="29">
        <f t="shared" si="0"/>
        <v>9056791.7608045973</v>
      </c>
      <c r="H10" s="56">
        <v>6</v>
      </c>
      <c r="I10" s="52">
        <f>D10*(1/(1+Faktory!$D$3)^H10)</f>
        <v>1892649.9681057073</v>
      </c>
      <c r="J10" s="59">
        <f>G10*(1/(1+Faktory!$D$5)^H10)</f>
        <v>6758317.456044144</v>
      </c>
      <c r="K10" s="57">
        <f t="shared" si="2"/>
        <v>26920768.469217449</v>
      </c>
      <c r="L10" s="31" t="str">
        <f t="shared" si="3"/>
        <v>&gt;</v>
      </c>
    </row>
    <row r="11" spans="1:12" x14ac:dyDescent="0.25">
      <c r="A11" s="33" t="s">
        <v>32</v>
      </c>
      <c r="B11" s="27">
        <f>'Prínosy - Agendové IS'!Q11-'Výdavky - Agendové IS'!T11</f>
        <v>641344</v>
      </c>
      <c r="C11" s="26">
        <f>'Prínosy - Agendové IS'!R11-'Výdavky - Agendové IS'!U11</f>
        <v>3456120</v>
      </c>
      <c r="D11" s="29">
        <f t="shared" si="1"/>
        <v>2814776</v>
      </c>
      <c r="E11" s="27">
        <f>'Prínosy - Agendové IS'!T11-('Výdavky - Agendové IS'!T11/1.2)</f>
        <v>-4346972.5180076631</v>
      </c>
      <c r="F11" s="27">
        <f>'Prínosy - Agendové IS'!U11-('Výdavky - Agendové IS'!U11/1.2)</f>
        <v>5604954.6594636012</v>
      </c>
      <c r="G11" s="29">
        <f t="shared" si="0"/>
        <v>9951927.1774712652</v>
      </c>
      <c r="H11" s="56">
        <v>7</v>
      </c>
      <c r="I11" s="52">
        <f>D11*(1/(1+Faktory!$D$3)^H11)</f>
        <v>2138998.4225736507</v>
      </c>
      <c r="J11" s="59">
        <f>G11*(1/(1+Faktory!$D$5)^H11)</f>
        <v>7072648.8438433837</v>
      </c>
      <c r="K11" s="57">
        <f t="shared" si="2"/>
        <v>33993417.313060835</v>
      </c>
      <c r="L11" s="31" t="str">
        <f t="shared" si="3"/>
        <v>&gt;</v>
      </c>
    </row>
    <row r="12" spans="1:12" x14ac:dyDescent="0.25">
      <c r="A12" s="33" t="s">
        <v>33</v>
      </c>
      <c r="B12" s="27">
        <f>'Prínosy - Agendové IS'!Q12-'Výdavky - Agendové IS'!T12</f>
        <v>677644</v>
      </c>
      <c r="C12" s="26">
        <f>'Prínosy - Agendové IS'!R12-'Výdavky - Agendové IS'!U12</f>
        <v>4012620</v>
      </c>
      <c r="D12" s="29">
        <f t="shared" si="1"/>
        <v>3334976</v>
      </c>
      <c r="E12" s="27">
        <f>'Prínosy - Agendové IS'!T12-('Výdavky - Agendové IS'!T12/1.2)</f>
        <v>-4591722.5180076631</v>
      </c>
      <c r="F12" s="27">
        <f>'Prínosy - Agendové IS'!U12-('Výdavky - Agendové IS'!U12/1.2)</f>
        <v>6773475.4927969351</v>
      </c>
      <c r="G12" s="29">
        <f t="shared" si="0"/>
        <v>11365198.010804597</v>
      </c>
      <c r="H12" s="56">
        <v>8</v>
      </c>
      <c r="I12" s="52">
        <f>D12*(1/(1+Faktory!$D$3)^H12)</f>
        <v>2436834.2971166959</v>
      </c>
      <c r="J12" s="59">
        <f>G12*(1/(1+Faktory!$D$5)^H12)</f>
        <v>7692413.3709626887</v>
      </c>
      <c r="K12" s="57">
        <f t="shared" si="2"/>
        <v>41685830.684023522</v>
      </c>
      <c r="L12" s="31" t="str">
        <f t="shared" si="3"/>
        <v>&gt;</v>
      </c>
    </row>
    <row r="13" spans="1:12" ht="15.75" thickBot="1" x14ac:dyDescent="0.3">
      <c r="A13" s="33" t="s">
        <v>34</v>
      </c>
      <c r="B13" s="47">
        <f>'Prínosy - Agendové IS'!Q13-'Výdavky - Agendové IS'!T13</f>
        <v>701844</v>
      </c>
      <c r="C13" s="43">
        <f>'Prínosy - Agendové IS'!R13-'Výdavky - Agendové IS'!U13</f>
        <v>3783120</v>
      </c>
      <c r="D13" s="35">
        <f t="shared" si="1"/>
        <v>3081276</v>
      </c>
      <c r="E13" s="27">
        <f>'Prínosy - Agendové IS'!T13-('Výdavky - Agendové IS'!T13/1.2)</f>
        <v>-4754889.1846743291</v>
      </c>
      <c r="F13" s="27">
        <f>'Prínosy - Agendové IS'!U13-('Výdavky - Agendové IS'!U13/1.2)</f>
        <v>7032787.9927969351</v>
      </c>
      <c r="G13" s="35">
        <f t="shared" si="0"/>
        <v>11787677.177471265</v>
      </c>
      <c r="H13" s="56">
        <v>9</v>
      </c>
      <c r="I13" s="53">
        <f>D13*(1/(1+Faktory!$D$3)^H13)</f>
        <v>2164863.6462573963</v>
      </c>
      <c r="J13" s="60">
        <f>G13*(1/(1+Faktory!$D$5)^H13)</f>
        <v>7598441.8100950159</v>
      </c>
      <c r="K13" s="57">
        <f t="shared" si="2"/>
        <v>49284272.494118541</v>
      </c>
      <c r="L13" s="31" t="str">
        <f t="shared" si="3"/>
        <v>&gt;</v>
      </c>
    </row>
    <row r="14" spans="1:12" ht="15.75" thickBot="1" x14ac:dyDescent="0.3">
      <c r="A14" s="62" t="s">
        <v>35</v>
      </c>
      <c r="B14" s="44">
        <f t="shared" ref="B14:G14" si="4">SUM(B4:B13)</f>
        <v>4985970</v>
      </c>
      <c r="C14" s="45">
        <f t="shared" si="4"/>
        <v>21331883.879999999</v>
      </c>
      <c r="D14" s="45">
        <f t="shared" si="4"/>
        <v>16345913.879999999</v>
      </c>
      <c r="E14" s="45">
        <f t="shared" si="4"/>
        <v>-34015810.731800765</v>
      </c>
      <c r="F14" s="45">
        <f t="shared" si="4"/>
        <v>32420162.797854409</v>
      </c>
      <c r="G14" s="46">
        <f t="shared" si="4"/>
        <v>66435973.529655173</v>
      </c>
      <c r="H14" s="63" t="s">
        <v>35</v>
      </c>
      <c r="I14" s="186">
        <f>SUM(I4:I13)</f>
        <v>12602497.01583029</v>
      </c>
      <c r="J14" s="187">
        <f>SUM(J4:J13)</f>
        <v>49284272.494118541</v>
      </c>
      <c r="K14" s="7"/>
      <c r="L14" s="7"/>
    </row>
    <row r="16" spans="1:12" ht="15.75" thickBot="1" x14ac:dyDescent="0.3">
      <c r="H16" s="107" t="s">
        <v>189</v>
      </c>
      <c r="J16" s="197" t="s">
        <v>178</v>
      </c>
      <c r="K16" s="197" t="s">
        <v>187</v>
      </c>
    </row>
    <row r="17" spans="5:11" s="138" customFormat="1" ht="15.75" thickBot="1" x14ac:dyDescent="0.25">
      <c r="H17" s="191" t="s">
        <v>120</v>
      </c>
      <c r="I17" s="193" t="s">
        <v>184</v>
      </c>
      <c r="J17" s="194">
        <f>'Prínosy - Agendové IS'!V15/('Výdavky - Agendové IS'!V15/1.2)</f>
        <v>-2.9673815751803301</v>
      </c>
      <c r="K17" s="198">
        <v>1</v>
      </c>
    </row>
    <row r="18" spans="5:11" s="138" customFormat="1" ht="23.25" thickBot="1" x14ac:dyDescent="0.25">
      <c r="H18" s="192" t="s">
        <v>181</v>
      </c>
      <c r="I18" s="193" t="s">
        <v>185</v>
      </c>
      <c r="J18" s="195" t="s">
        <v>370</v>
      </c>
      <c r="K18" s="199" t="s">
        <v>188</v>
      </c>
    </row>
    <row r="19" spans="5:11" s="138" customFormat="1" ht="23.25" thickBot="1" x14ac:dyDescent="0.25">
      <c r="E19" s="188"/>
      <c r="H19" s="192" t="s">
        <v>182</v>
      </c>
      <c r="I19" s="193" t="s">
        <v>186</v>
      </c>
      <c r="J19" s="195">
        <f>IRR($G$4:$G$13,0.01)</f>
        <v>4.5776452033986583</v>
      </c>
      <c r="K19" s="199">
        <v>0.05</v>
      </c>
    </row>
    <row r="20" spans="5:11" ht="15.75" thickBot="1" x14ac:dyDescent="0.3">
      <c r="H20" s="189"/>
      <c r="I20" s="190"/>
      <c r="J20" s="189"/>
      <c r="K20" s="200"/>
    </row>
    <row r="21" spans="5:11" s="138" customFormat="1" ht="23.25" thickBot="1" x14ac:dyDescent="0.25">
      <c r="H21" s="192" t="s">
        <v>183</v>
      </c>
      <c r="I21" s="193" t="s">
        <v>383</v>
      </c>
      <c r="J21" s="196">
        <f>I14</f>
        <v>12602497.01583029</v>
      </c>
      <c r="K21" s="201" t="s">
        <v>188</v>
      </c>
    </row>
    <row r="22" spans="5:11" s="138" customFormat="1" ht="23.25" thickBot="1" x14ac:dyDescent="0.25">
      <c r="H22" s="192" t="s">
        <v>71</v>
      </c>
      <c r="I22" s="193" t="s">
        <v>382</v>
      </c>
      <c r="J22" s="196">
        <f>J14</f>
        <v>49284272.494118541</v>
      </c>
      <c r="K22" s="201">
        <v>0</v>
      </c>
    </row>
  </sheetData>
  <mergeCells count="6">
    <mergeCell ref="K3:L3"/>
    <mergeCell ref="B1:G1"/>
    <mergeCell ref="H1:L1"/>
    <mergeCell ref="B2:D2"/>
    <mergeCell ref="E2:G2"/>
    <mergeCell ref="K2:L2"/>
  </mergeCells>
  <conditionalFormatting sqref="L4:L13">
    <cfRule type="cellIs" dxfId="0" priority="1" stopIfTrue="1" operator="equal">
      <formula>"Rok návratu investície"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3"/>
  <sheetViews>
    <sheetView view="pageBreakPreview" zoomScale="60" zoomScaleNormal="80" workbookViewId="0"/>
  </sheetViews>
  <sheetFormatPr defaultColWidth="8.85546875" defaultRowHeight="15" x14ac:dyDescent="0.25"/>
  <cols>
    <col min="1" max="1" width="7.85546875" style="61" customWidth="1"/>
    <col min="2" max="2" width="12.7109375" style="61" customWidth="1"/>
    <col min="3" max="3" width="14" style="61" customWidth="1"/>
    <col min="4" max="4" width="9.42578125" style="61" customWidth="1"/>
    <col min="5" max="5" width="11.85546875" style="61" customWidth="1"/>
    <col min="6" max="6" width="11.7109375" style="61" customWidth="1"/>
    <col min="7" max="7" width="9.7109375" customWidth="1"/>
    <col min="8" max="8" width="11.42578125" customWidth="1"/>
    <col min="9" max="9" width="10.85546875" customWidth="1"/>
    <col min="10" max="10" width="9.42578125" customWidth="1"/>
    <col min="11" max="11" width="12.7109375" customWidth="1"/>
    <col min="12" max="12" width="11.42578125" customWidth="1"/>
    <col min="13" max="13" width="10.42578125" customWidth="1"/>
    <col min="14" max="14" width="13.28515625" customWidth="1"/>
    <col min="15" max="15" width="11.28515625" customWidth="1"/>
    <col min="16" max="16" width="9.7109375" customWidth="1"/>
    <col min="17" max="17" width="14.7109375" customWidth="1"/>
    <col min="18" max="18" width="15.7109375" customWidth="1"/>
  </cols>
  <sheetData>
    <row r="2" spans="1:18" x14ac:dyDescent="0.25">
      <c r="A2" s="229" t="s">
        <v>120</v>
      </c>
      <c r="B2" s="230">
        <f>'CBA - Agendové IS'!J17</f>
        <v>-2.9673815751803301</v>
      </c>
    </row>
    <row r="4" spans="1:18" x14ac:dyDescent="0.25">
      <c r="A4" s="220"/>
    </row>
    <row r="5" spans="1:18" ht="30" customHeight="1" x14ac:dyDescent="0.25">
      <c r="A5" s="220"/>
      <c r="B5" s="711" t="s">
        <v>208</v>
      </c>
      <c r="C5" s="712"/>
      <c r="D5" s="238"/>
      <c r="E5" s="711" t="s">
        <v>209</v>
      </c>
      <c r="F5" s="712"/>
      <c r="H5" s="709" t="s">
        <v>204</v>
      </c>
      <c r="I5" s="710"/>
      <c r="J5" s="61"/>
      <c r="K5" s="711" t="s">
        <v>207</v>
      </c>
      <c r="L5" s="712"/>
      <c r="N5" s="709" t="s">
        <v>205</v>
      </c>
      <c r="O5" s="710"/>
      <c r="Q5" s="709" t="s">
        <v>206</v>
      </c>
      <c r="R5" s="710"/>
    </row>
    <row r="6" spans="1:18" x14ac:dyDescent="0.25">
      <c r="A6" s="220"/>
      <c r="B6" s="233" t="s">
        <v>12</v>
      </c>
      <c r="C6" s="232" t="s">
        <v>120</v>
      </c>
      <c r="D6" s="239"/>
      <c r="E6" s="233" t="s">
        <v>12</v>
      </c>
      <c r="F6" s="232" t="s">
        <v>120</v>
      </c>
      <c r="H6" s="233" t="s">
        <v>12</v>
      </c>
      <c r="I6" s="232" t="s">
        <v>120</v>
      </c>
      <c r="J6" s="61"/>
      <c r="K6" s="233" t="s">
        <v>12</v>
      </c>
      <c r="L6" s="232" t="s">
        <v>120</v>
      </c>
      <c r="N6" s="234" t="s">
        <v>12</v>
      </c>
      <c r="O6" s="235" t="s">
        <v>120</v>
      </c>
      <c r="Q6" s="234" t="s">
        <v>12</v>
      </c>
      <c r="R6" s="235" t="s">
        <v>120</v>
      </c>
    </row>
    <row r="7" spans="1:18" ht="15" customHeight="1" x14ac:dyDescent="0.25">
      <c r="A7" s="220"/>
      <c r="B7" s="225">
        <v>0</v>
      </c>
      <c r="C7" s="216">
        <f>B2</f>
        <v>-2.9673815751803301</v>
      </c>
      <c r="D7" s="236"/>
      <c r="E7" s="225">
        <v>0</v>
      </c>
      <c r="F7" s="216">
        <f>B2</f>
        <v>-2.9673815751803301</v>
      </c>
      <c r="H7" s="225">
        <v>0</v>
      </c>
      <c r="I7" s="216">
        <f>B2</f>
        <v>-2.9673815751803301</v>
      </c>
      <c r="J7" s="61"/>
      <c r="K7" s="225">
        <v>0</v>
      </c>
      <c r="L7" s="216">
        <f>B2</f>
        <v>-2.9673815751803301</v>
      </c>
      <c r="N7" s="227">
        <v>0</v>
      </c>
      <c r="O7" s="218">
        <f>B2</f>
        <v>-2.9673815751803301</v>
      </c>
      <c r="Q7" s="227">
        <v>0</v>
      </c>
      <c r="R7" s="218">
        <f>B2</f>
        <v>-2.9673815751803301</v>
      </c>
    </row>
    <row r="8" spans="1:18" x14ac:dyDescent="0.25">
      <c r="A8" s="220"/>
      <c r="B8" s="225">
        <v>0.1</v>
      </c>
      <c r="C8" s="221">
        <f t="dataTable" ref="C8:C17" dt2D="0" dtr="0" r1="B7" ca="1"/>
        <v>-2.9882221929085802</v>
      </c>
      <c r="D8" s="237"/>
      <c r="E8" s="225">
        <v>0.1</v>
      </c>
      <c r="F8" s="221">
        <f t="dataTable" ref="F8:F17" dt2D="0" dtr="0" r1="E7" ca="1"/>
        <v>-2.986461315871825</v>
      </c>
      <c r="H8" s="225">
        <v>-0.1</v>
      </c>
      <c r="I8" s="221">
        <f t="dataTable" ref="I8:I17" dt2D="0" dtr="0" r1="H7" ca="1"/>
        <v>-2.9673815751803301</v>
      </c>
      <c r="J8" s="61"/>
      <c r="K8" s="225">
        <v>-0.1</v>
      </c>
      <c r="L8" s="221">
        <f t="dataTable" ref="L8:L17" dt2D="0" dtr="0" r1="K7" ca="1"/>
        <v>-2.7658359774865882</v>
      </c>
      <c r="N8" s="227">
        <v>-0.1</v>
      </c>
      <c r="O8" s="223">
        <f t="dataTable" ref="O8:O17" dt2D="0" dtr="0" r1="N7" ca="1"/>
        <v>-2.9663200638310943</v>
      </c>
      <c r="Q8" s="227">
        <v>-0.1</v>
      </c>
      <c r="R8" s="223">
        <f t="dataTable" ref="R8:R17" dt2D="0" dtr="0" r1="Q7" ca="1"/>
        <v>-2.6717049290115322</v>
      </c>
    </row>
    <row r="9" spans="1:18" x14ac:dyDescent="0.25">
      <c r="A9" s="219"/>
      <c r="B9" s="225">
        <v>0.2</v>
      </c>
      <c r="C9" s="221">
        <v>-3.0093576182458652</v>
      </c>
      <c r="D9" s="237"/>
      <c r="E9" s="225">
        <v>0.2</v>
      </c>
      <c r="F9" s="221">
        <v>-3.0057880031280146</v>
      </c>
      <c r="H9" s="225">
        <v>-0.2</v>
      </c>
      <c r="I9" s="221">
        <v>-2.9673815751803301</v>
      </c>
      <c r="J9" s="61"/>
      <c r="K9" s="225">
        <v>-0.2</v>
      </c>
      <c r="L9" s="221">
        <v>-2.5642903797928458</v>
      </c>
      <c r="N9" s="227">
        <v>-0.2</v>
      </c>
      <c r="O9" s="223">
        <v>-2.9652585524818598</v>
      </c>
      <c r="Q9" s="227">
        <v>-0.2</v>
      </c>
      <c r="R9" s="223">
        <v>-2.3760282828427348</v>
      </c>
    </row>
    <row r="10" spans="1:18" x14ac:dyDescent="0.25">
      <c r="A10" s="219"/>
      <c r="B10" s="225">
        <v>0.3</v>
      </c>
      <c r="C10" s="221">
        <v>-3.0307941511942049</v>
      </c>
      <c r="D10" s="237"/>
      <c r="E10" s="225">
        <v>0.3</v>
      </c>
      <c r="F10" s="221">
        <v>-3.0253664624721273</v>
      </c>
      <c r="H10" s="225">
        <v>-0.3</v>
      </c>
      <c r="I10" s="221">
        <v>-2.9673815751803301</v>
      </c>
      <c r="J10" s="61"/>
      <c r="K10" s="225">
        <v>-0.3</v>
      </c>
      <c r="L10" s="221">
        <v>-2.3627447820991034</v>
      </c>
      <c r="N10" s="227">
        <v>-0.3</v>
      </c>
      <c r="O10" s="223">
        <v>-2.9641970411326239</v>
      </c>
      <c r="Q10" s="227">
        <v>-0.3</v>
      </c>
      <c r="R10" s="223">
        <v>-2.080351636673937</v>
      </c>
    </row>
    <row r="11" spans="1:18" x14ac:dyDescent="0.25">
      <c r="A11" s="219"/>
      <c r="B11" s="225">
        <v>0.4</v>
      </c>
      <c r="C11" s="221">
        <v>-3.0525382725504895</v>
      </c>
      <c r="D11" s="237"/>
      <c r="E11" s="225">
        <v>0.4</v>
      </c>
      <c r="F11" s="221">
        <v>-3.045201645977536</v>
      </c>
      <c r="H11" s="225">
        <v>-0.4</v>
      </c>
      <c r="I11" s="221">
        <v>-2.9673815751803301</v>
      </c>
      <c r="J11" s="61"/>
      <c r="K11" s="225">
        <v>-0.4</v>
      </c>
      <c r="L11" s="221">
        <v>-2.161199184405362</v>
      </c>
      <c r="N11" s="227">
        <v>-0.4</v>
      </c>
      <c r="O11" s="223">
        <v>-2.9631355297833886</v>
      </c>
      <c r="Q11" s="227">
        <v>-0.4</v>
      </c>
      <c r="R11" s="223">
        <v>-1.7846749905051393</v>
      </c>
    </row>
    <row r="12" spans="1:18" x14ac:dyDescent="0.25">
      <c r="A12" s="219"/>
      <c r="B12" s="225">
        <v>0.5</v>
      </c>
      <c r="C12" s="221">
        <v>-3.0745966504388149</v>
      </c>
      <c r="D12" s="237"/>
      <c r="E12" s="225">
        <v>0.5</v>
      </c>
      <c r="F12" s="221">
        <v>-3.0652986364436274</v>
      </c>
      <c r="H12" s="225">
        <v>-0.5</v>
      </c>
      <c r="I12" s="221">
        <v>-2.9673815751803301</v>
      </c>
      <c r="J12" s="61"/>
      <c r="K12" s="225">
        <v>-0.5</v>
      </c>
      <c r="L12" s="221">
        <v>-1.9596535867116194</v>
      </c>
      <c r="N12" s="227">
        <v>-0.5</v>
      </c>
      <c r="O12" s="223">
        <v>-2.9620740184341532</v>
      </c>
      <c r="Q12" s="227">
        <v>-0.5</v>
      </c>
      <c r="R12" s="223">
        <v>-1.4889983443363424</v>
      </c>
    </row>
    <row r="13" spans="1:18" x14ac:dyDescent="0.25">
      <c r="A13" s="219"/>
      <c r="B13" s="225">
        <v>0.6</v>
      </c>
      <c r="C13" s="221">
        <v>-3.0969761471281072</v>
      </c>
      <c r="D13" s="237"/>
      <c r="E13" s="225">
        <v>0.6</v>
      </c>
      <c r="F13" s="221">
        <v>-3.0856626517381383</v>
      </c>
      <c r="H13" s="225">
        <v>-0.6</v>
      </c>
      <c r="I13" s="221">
        <v>-2.9673815751803301</v>
      </c>
      <c r="J13" s="61"/>
      <c r="K13" s="225">
        <v>-0.6</v>
      </c>
      <c r="L13" s="221">
        <v>-1.7581079890178772</v>
      </c>
      <c r="N13" s="227">
        <v>-0.6</v>
      </c>
      <c r="O13" s="223">
        <v>-2.9610125070849174</v>
      </c>
      <c r="Q13" s="227">
        <v>-0.6</v>
      </c>
      <c r="R13" s="223">
        <v>-1.1933216981675445</v>
      </c>
    </row>
    <row r="14" spans="1:18" x14ac:dyDescent="0.25">
      <c r="A14" s="215"/>
      <c r="B14" s="225">
        <v>0.7</v>
      </c>
      <c r="C14" s="221">
        <v>-3.119683826149676</v>
      </c>
      <c r="D14" s="237"/>
      <c r="E14" s="225">
        <v>0.7</v>
      </c>
      <c r="F14" s="221">
        <v>-3.1062990493137237</v>
      </c>
      <c r="H14" s="225">
        <v>-0.7</v>
      </c>
      <c r="I14" s="221">
        <v>-2.9673815751803301</v>
      </c>
      <c r="J14" s="61"/>
      <c r="K14" s="225">
        <v>-0.7</v>
      </c>
      <c r="L14" s="221">
        <v>-1.5565623913241353</v>
      </c>
      <c r="N14" s="227">
        <v>-0.7</v>
      </c>
      <c r="O14" s="223">
        <v>-2.9599509957356824</v>
      </c>
      <c r="Q14" s="227">
        <v>-0.7</v>
      </c>
      <c r="R14" s="223">
        <v>-0.89764505199874722</v>
      </c>
    </row>
    <row r="15" spans="1:18" x14ac:dyDescent="0.25">
      <c r="A15" s="215"/>
      <c r="B15" s="225">
        <v>0.8</v>
      </c>
      <c r="C15" s="221">
        <v>-3.1427269597302052</v>
      </c>
      <c r="D15" s="237"/>
      <c r="E15" s="225">
        <v>0.8</v>
      </c>
      <c r="F15" s="221">
        <v>-3.1272133309069874</v>
      </c>
      <c r="H15" s="225">
        <v>-0.8</v>
      </c>
      <c r="I15" s="221">
        <v>-2.9673815751803301</v>
      </c>
      <c r="J15" s="61"/>
      <c r="K15" s="225">
        <v>-0.8</v>
      </c>
      <c r="L15" s="221">
        <v>-1.3550167936303932</v>
      </c>
      <c r="N15" s="227">
        <v>-0.8</v>
      </c>
      <c r="O15" s="223">
        <v>-2.9588894843864471</v>
      </c>
      <c r="Q15" s="227">
        <v>-0.8</v>
      </c>
      <c r="R15" s="223">
        <v>-0.60196840582994915</v>
      </c>
    </row>
    <row r="16" spans="1:18" x14ac:dyDescent="0.25">
      <c r="A16" s="215"/>
      <c r="B16" s="225">
        <v>0.9</v>
      </c>
      <c r="C16" s="221">
        <v>-3.1661130365566095</v>
      </c>
      <c r="D16" s="237"/>
      <c r="E16" s="225">
        <v>0.9</v>
      </c>
      <c r="F16" s="221">
        <v>-3.1484111474286252</v>
      </c>
      <c r="H16" s="225">
        <v>-0.9</v>
      </c>
      <c r="I16" s="221">
        <v>-2.9673815751803301</v>
      </c>
      <c r="J16" s="61"/>
      <c r="K16" s="225">
        <v>-0.9</v>
      </c>
      <c r="L16" s="221">
        <v>-1.1534711959366513</v>
      </c>
      <c r="N16" s="227">
        <v>-0.9</v>
      </c>
      <c r="O16" s="223">
        <v>-2.9578279730372108</v>
      </c>
      <c r="Q16" s="227">
        <v>-0.9</v>
      </c>
      <c r="R16" s="223">
        <v>-0.30629175966115169</v>
      </c>
    </row>
    <row r="17" spans="1:18" x14ac:dyDescent="0.25">
      <c r="A17" s="215"/>
      <c r="B17" s="226">
        <v>1</v>
      </c>
      <c r="C17" s="222">
        <v>-3.1898497698901802</v>
      </c>
      <c r="D17" s="237"/>
      <c r="E17" s="226">
        <v>1</v>
      </c>
      <c r="F17" s="222">
        <v>-3.1698983040538162</v>
      </c>
      <c r="H17" s="226">
        <v>-1</v>
      </c>
      <c r="I17" s="222">
        <v>-2.9673815751803301</v>
      </c>
      <c r="J17" s="61"/>
      <c r="K17" s="226">
        <v>-1</v>
      </c>
      <c r="L17" s="222">
        <v>-0.95192559824290901</v>
      </c>
      <c r="N17" s="228">
        <v>-1</v>
      </c>
      <c r="O17" s="224">
        <v>-2.9567664616879767</v>
      </c>
      <c r="Q17" s="228">
        <v>-1</v>
      </c>
      <c r="R17" s="224">
        <v>-1.0615113492354153E-2</v>
      </c>
    </row>
    <row r="18" spans="1:18" x14ac:dyDescent="0.25">
      <c r="A18" s="219"/>
      <c r="B18" s="220"/>
      <c r="C18" s="220"/>
      <c r="D18" s="220"/>
      <c r="E18" s="220"/>
      <c r="F18" s="220"/>
      <c r="N18" s="231"/>
    </row>
    <row r="19" spans="1:18" x14ac:dyDescent="0.25">
      <c r="A19" s="219"/>
      <c r="B19" s="220"/>
      <c r="C19" s="220"/>
      <c r="D19" s="220"/>
      <c r="E19" s="220"/>
      <c r="F19" s="220"/>
    </row>
    <row r="20" spans="1:18" x14ac:dyDescent="0.25">
      <c r="A20" s="220"/>
      <c r="B20" s="220"/>
      <c r="C20" s="220"/>
      <c r="D20" s="220"/>
      <c r="E20" s="220"/>
      <c r="F20" s="220"/>
    </row>
    <row r="25" spans="1:18" ht="18.75" customHeight="1" x14ac:dyDescent="0.25">
      <c r="B25" s="220"/>
      <c r="C25" s="220"/>
      <c r="D25" s="703" t="s">
        <v>206</v>
      </c>
      <c r="E25" s="704"/>
      <c r="F25" s="704"/>
      <c r="G25" s="704"/>
      <c r="H25" s="704"/>
      <c r="I25" s="704"/>
      <c r="J25" s="704"/>
      <c r="K25" s="704"/>
      <c r="L25" s="704"/>
      <c r="M25" s="704"/>
      <c r="N25" s="705"/>
    </row>
    <row r="26" spans="1:18" x14ac:dyDescent="0.25">
      <c r="B26" s="220"/>
      <c r="C26" s="240">
        <f>B2</f>
        <v>-2.9673815751803301</v>
      </c>
      <c r="D26" s="246">
        <v>0</v>
      </c>
      <c r="E26" s="243">
        <v>-0.1</v>
      </c>
      <c r="F26" s="243">
        <v>-0.2</v>
      </c>
      <c r="G26" s="243">
        <v>-0.3</v>
      </c>
      <c r="H26" s="243">
        <v>-0.4</v>
      </c>
      <c r="I26" s="243">
        <v>-0.5</v>
      </c>
      <c r="J26" s="243">
        <v>-0.6</v>
      </c>
      <c r="K26" s="243">
        <v>-0.7</v>
      </c>
      <c r="L26" s="243">
        <v>-0.8</v>
      </c>
      <c r="M26" s="243">
        <v>-0.9</v>
      </c>
      <c r="N26" s="247">
        <v>-1</v>
      </c>
    </row>
    <row r="27" spans="1:18" ht="14.25" customHeight="1" x14ac:dyDescent="0.25">
      <c r="B27" s="706" t="s">
        <v>205</v>
      </c>
      <c r="C27" s="248">
        <v>0</v>
      </c>
      <c r="D27" s="237">
        <f t="dataTable" ref="D27:N37" dt2D="1" dtr="1" r1="Q7" r2="N7" ca="1"/>
        <v>-2.9673815751803301</v>
      </c>
      <c r="E27" s="237">
        <v>-2.6717049290115322</v>
      </c>
      <c r="F27" s="237">
        <v>-2.3760282828427348</v>
      </c>
      <c r="G27" s="242">
        <v>-2.080351636673937</v>
      </c>
      <c r="H27" s="242">
        <v>-1.7846749905051393</v>
      </c>
      <c r="I27" s="242">
        <v>-1.4889983443363424</v>
      </c>
      <c r="J27" s="242">
        <v>-1.1933216981675445</v>
      </c>
      <c r="K27" s="242">
        <v>-0.89764505199874722</v>
      </c>
      <c r="L27" s="242">
        <v>-0.60196840582994915</v>
      </c>
      <c r="M27" s="242">
        <v>-0.30629175966115169</v>
      </c>
      <c r="N27" s="223">
        <v>-1.0615113492354153E-2</v>
      </c>
    </row>
    <row r="28" spans="1:18" x14ac:dyDescent="0.25">
      <c r="B28" s="707"/>
      <c r="C28" s="241">
        <v>-0.1</v>
      </c>
      <c r="D28" s="237">
        <v>-2.9663200638310943</v>
      </c>
      <c r="E28" s="237">
        <v>-2.6706434176622973</v>
      </c>
      <c r="F28" s="237">
        <v>-2.3749667714934999</v>
      </c>
      <c r="G28" s="242">
        <v>-2.0792901253247016</v>
      </c>
      <c r="H28" s="242">
        <v>-1.7836134791559044</v>
      </c>
      <c r="I28" s="242">
        <v>-1.4879368329871068</v>
      </c>
      <c r="J28" s="242">
        <v>-1.1922601868183091</v>
      </c>
      <c r="K28" s="242">
        <v>-0.89658354064951173</v>
      </c>
      <c r="L28" s="242">
        <v>-0.60090689448071366</v>
      </c>
      <c r="M28" s="242">
        <v>-0.30523024831191631</v>
      </c>
      <c r="N28" s="223">
        <v>-9.5536021431187369E-3</v>
      </c>
    </row>
    <row r="29" spans="1:18" x14ac:dyDescent="0.25">
      <c r="B29" s="707"/>
      <c r="C29" s="241">
        <v>-0.2</v>
      </c>
      <c r="D29" s="237">
        <v>-2.9652585524818598</v>
      </c>
      <c r="E29" s="237">
        <v>-2.669581906313061</v>
      </c>
      <c r="F29" s="237">
        <v>-2.3739052601442641</v>
      </c>
      <c r="G29" s="242">
        <v>-2.0782286139754658</v>
      </c>
      <c r="H29" s="242">
        <v>-1.7825519678066688</v>
      </c>
      <c r="I29" s="242">
        <v>-1.4868753216378712</v>
      </c>
      <c r="J29" s="242">
        <v>-1.1911986754690738</v>
      </c>
      <c r="K29" s="242">
        <v>-0.89552202930027636</v>
      </c>
      <c r="L29" s="242">
        <v>-0.59984538313147839</v>
      </c>
      <c r="M29" s="242">
        <v>-0.30416873696268082</v>
      </c>
      <c r="N29" s="223">
        <v>-8.4920907938833227E-3</v>
      </c>
    </row>
    <row r="30" spans="1:18" x14ac:dyDescent="0.25">
      <c r="B30" s="707"/>
      <c r="C30" s="241">
        <v>-0.3</v>
      </c>
      <c r="D30" s="237">
        <v>-2.9641970411326239</v>
      </c>
      <c r="E30" s="237">
        <v>-2.6685203949638265</v>
      </c>
      <c r="F30" s="237">
        <v>-2.3728437487950287</v>
      </c>
      <c r="G30" s="242">
        <v>-2.0771671026262308</v>
      </c>
      <c r="H30" s="242">
        <v>-1.7814904564574336</v>
      </c>
      <c r="I30" s="242">
        <v>-1.485813810288636</v>
      </c>
      <c r="J30" s="242">
        <v>-1.1901371641198384</v>
      </c>
      <c r="K30" s="242">
        <v>-0.89446051795104076</v>
      </c>
      <c r="L30" s="242">
        <v>-0.59878387178224302</v>
      </c>
      <c r="M30" s="242">
        <v>-0.30310722561344539</v>
      </c>
      <c r="N30" s="223">
        <v>-7.4305794446479058E-3</v>
      </c>
    </row>
    <row r="31" spans="1:18" x14ac:dyDescent="0.25">
      <c r="B31" s="707"/>
      <c r="C31" s="241">
        <v>-0.4</v>
      </c>
      <c r="D31" s="237">
        <v>-2.9631355297833886</v>
      </c>
      <c r="E31" s="237">
        <v>-2.6674588836145912</v>
      </c>
      <c r="F31" s="237">
        <v>-2.3717822374457929</v>
      </c>
      <c r="G31" s="242">
        <v>-2.0761055912769955</v>
      </c>
      <c r="H31" s="242">
        <v>-1.7804289451081983</v>
      </c>
      <c r="I31" s="242">
        <v>-1.4847522989394006</v>
      </c>
      <c r="J31" s="242">
        <v>-1.1890756527706028</v>
      </c>
      <c r="K31" s="242">
        <v>-0.89339900660180549</v>
      </c>
      <c r="L31" s="242">
        <v>-0.59772236043300753</v>
      </c>
      <c r="M31" s="242">
        <v>-0.30204571426421001</v>
      </c>
      <c r="N31" s="223">
        <v>-6.3690680954124907E-3</v>
      </c>
    </row>
    <row r="32" spans="1:18" x14ac:dyDescent="0.25">
      <c r="B32" s="707"/>
      <c r="C32" s="241">
        <v>-0.5</v>
      </c>
      <c r="D32" s="237">
        <v>-2.9620740184341532</v>
      </c>
      <c r="E32" s="237">
        <v>-2.6663973722653549</v>
      </c>
      <c r="F32" s="237">
        <v>-2.3707207260965579</v>
      </c>
      <c r="G32" s="242">
        <v>-2.0750440799277601</v>
      </c>
      <c r="H32" s="242">
        <v>-1.7793674337589627</v>
      </c>
      <c r="I32" s="242">
        <v>-1.4836907875901648</v>
      </c>
      <c r="J32" s="242">
        <v>-1.1880141414213674</v>
      </c>
      <c r="K32" s="242">
        <v>-0.89233749525257</v>
      </c>
      <c r="L32" s="242">
        <v>-0.59666084908377215</v>
      </c>
      <c r="M32" s="242">
        <v>-0.30098420291497457</v>
      </c>
      <c r="N32" s="223">
        <v>-5.3075567461770765E-3</v>
      </c>
    </row>
    <row r="33" spans="2:14" x14ac:dyDescent="0.25">
      <c r="B33" s="707"/>
      <c r="C33" s="241">
        <v>-0.6</v>
      </c>
      <c r="D33" s="237">
        <v>-2.9610125070849174</v>
      </c>
      <c r="E33" s="237">
        <v>-2.66533586091612</v>
      </c>
      <c r="F33" s="237">
        <v>-2.3696592147473226</v>
      </c>
      <c r="G33" s="242">
        <v>-2.0739825685785243</v>
      </c>
      <c r="H33" s="242">
        <v>-1.7783059224097268</v>
      </c>
      <c r="I33" s="242">
        <v>-1.4826292762409299</v>
      </c>
      <c r="J33" s="242">
        <v>-1.186952630072132</v>
      </c>
      <c r="K33" s="242">
        <v>-0.89127598390333451</v>
      </c>
      <c r="L33" s="242">
        <v>-0.59559933773453666</v>
      </c>
      <c r="M33" s="242">
        <v>-0.2999226915657392</v>
      </c>
      <c r="N33" s="223">
        <v>-4.2460453969416596E-3</v>
      </c>
    </row>
    <row r="34" spans="2:14" x14ac:dyDescent="0.25">
      <c r="B34" s="707"/>
      <c r="C34" s="241">
        <v>-0.7</v>
      </c>
      <c r="D34" s="237">
        <v>-2.9599509957356824</v>
      </c>
      <c r="E34" s="237">
        <v>-2.6642743495668846</v>
      </c>
      <c r="F34" s="237">
        <v>-2.3685977033980872</v>
      </c>
      <c r="G34" s="242">
        <v>-2.0729210572292889</v>
      </c>
      <c r="H34" s="242">
        <v>-1.7772444110604919</v>
      </c>
      <c r="I34" s="242">
        <v>-1.4815677648916943</v>
      </c>
      <c r="J34" s="242">
        <v>-1.1858911187228964</v>
      </c>
      <c r="K34" s="242">
        <v>-0.89021447255409936</v>
      </c>
      <c r="L34" s="242">
        <v>-0.59453782638530128</v>
      </c>
      <c r="M34" s="242">
        <v>-0.29886118021650376</v>
      </c>
      <c r="N34" s="223">
        <v>-3.1845340477062449E-3</v>
      </c>
    </row>
    <row r="35" spans="2:14" x14ac:dyDescent="0.25">
      <c r="B35" s="707"/>
      <c r="C35" s="241">
        <v>-0.8</v>
      </c>
      <c r="D35" s="237">
        <v>-2.9588894843864471</v>
      </c>
      <c r="E35" s="237">
        <v>-2.6632128382176492</v>
      </c>
      <c r="F35" s="237">
        <v>-2.3675361920488514</v>
      </c>
      <c r="G35" s="242">
        <v>-2.0718595458800539</v>
      </c>
      <c r="H35" s="242">
        <v>-1.7761828997112561</v>
      </c>
      <c r="I35" s="242">
        <v>-1.4805062535424587</v>
      </c>
      <c r="J35" s="242">
        <v>-1.1848296073736613</v>
      </c>
      <c r="K35" s="242">
        <v>-0.88915296120486365</v>
      </c>
      <c r="L35" s="242">
        <v>-0.59347631503606579</v>
      </c>
      <c r="M35" s="242">
        <v>-0.29779966886726833</v>
      </c>
      <c r="N35" s="223">
        <v>-2.1230226984708289E-3</v>
      </c>
    </row>
    <row r="36" spans="2:14" x14ac:dyDescent="0.25">
      <c r="B36" s="707"/>
      <c r="C36" s="241">
        <v>-0.9</v>
      </c>
      <c r="D36" s="237">
        <v>-2.9578279730372108</v>
      </c>
      <c r="E36" s="237">
        <v>-2.6621513268684138</v>
      </c>
      <c r="F36" s="237">
        <v>-2.366474680699616</v>
      </c>
      <c r="G36" s="242">
        <v>-2.0707980345308181</v>
      </c>
      <c r="H36" s="242">
        <v>-1.7751213883620209</v>
      </c>
      <c r="I36" s="242">
        <v>-1.4794447421932235</v>
      </c>
      <c r="J36" s="242">
        <v>-1.1837680960244257</v>
      </c>
      <c r="K36" s="242">
        <v>-0.88809144985562838</v>
      </c>
      <c r="L36" s="242">
        <v>-0.59241480368683053</v>
      </c>
      <c r="M36" s="242">
        <v>-0.2967381575180329</v>
      </c>
      <c r="N36" s="223">
        <v>-1.0615113492354147E-3</v>
      </c>
    </row>
    <row r="37" spans="2:14" x14ac:dyDescent="0.25">
      <c r="B37" s="708"/>
      <c r="C37" s="247">
        <v>-1</v>
      </c>
      <c r="D37" s="244">
        <v>-2.9567664616879767</v>
      </c>
      <c r="E37" s="244">
        <v>-2.6610898155191784</v>
      </c>
      <c r="F37" s="244">
        <v>-2.365413169350381</v>
      </c>
      <c r="G37" s="245">
        <v>-2.0697365231815832</v>
      </c>
      <c r="H37" s="245">
        <v>-1.774059877012786</v>
      </c>
      <c r="I37" s="245">
        <v>-1.4783832308439884</v>
      </c>
      <c r="J37" s="245">
        <v>-1.1827065846751905</v>
      </c>
      <c r="K37" s="245">
        <v>-0.88702993850639311</v>
      </c>
      <c r="L37" s="245">
        <v>-0.59135329233759504</v>
      </c>
      <c r="M37" s="245">
        <v>-0.29567664616879752</v>
      </c>
      <c r="N37" s="224">
        <v>0</v>
      </c>
    </row>
    <row r="41" spans="2:14" x14ac:dyDescent="0.25">
      <c r="B41" s="220"/>
      <c r="C41" s="220"/>
      <c r="D41" s="703" t="s">
        <v>207</v>
      </c>
      <c r="E41" s="704"/>
      <c r="F41" s="704"/>
      <c r="G41" s="704"/>
      <c r="H41" s="704"/>
      <c r="I41" s="704"/>
      <c r="J41" s="704"/>
      <c r="K41" s="704"/>
      <c r="L41" s="704"/>
      <c r="M41" s="704"/>
      <c r="N41" s="705"/>
    </row>
    <row r="42" spans="2:14" x14ac:dyDescent="0.25">
      <c r="B42" s="220"/>
      <c r="C42" s="240">
        <f>B2</f>
        <v>-2.9673815751803301</v>
      </c>
      <c r="D42" s="246">
        <v>0</v>
      </c>
      <c r="E42" s="243">
        <v>-0.1</v>
      </c>
      <c r="F42" s="243">
        <v>-0.2</v>
      </c>
      <c r="G42" s="243">
        <v>-0.3</v>
      </c>
      <c r="H42" s="243">
        <v>-0.4</v>
      </c>
      <c r="I42" s="243">
        <v>-0.5</v>
      </c>
      <c r="J42" s="243">
        <v>-0.6</v>
      </c>
      <c r="K42" s="243">
        <v>-0.7</v>
      </c>
      <c r="L42" s="243">
        <v>-0.8</v>
      </c>
      <c r="M42" s="243">
        <v>-0.9</v>
      </c>
      <c r="N42" s="247">
        <v>-1</v>
      </c>
    </row>
    <row r="43" spans="2:14" x14ac:dyDescent="0.25">
      <c r="B43" s="706" t="s">
        <v>209</v>
      </c>
      <c r="C43" s="248">
        <v>0</v>
      </c>
      <c r="D43" s="237">
        <f t="dataTable" ref="D43:N53" dt2D="1" dtr="1" r1="K7" r2="E7"/>
        <v>-2.9673815751803301</v>
      </c>
      <c r="E43" s="237">
        <v>-2.7658359774865882</v>
      </c>
      <c r="F43" s="237">
        <v>-2.5642903797928458</v>
      </c>
      <c r="G43" s="242">
        <v>-2.3627447820991034</v>
      </c>
      <c r="H43" s="242">
        <v>-2.161199184405362</v>
      </c>
      <c r="I43" s="242">
        <v>-1.9596535867116194</v>
      </c>
      <c r="J43" s="242">
        <v>-1.7581079890178772</v>
      </c>
      <c r="K43" s="242">
        <v>-1.5565623913241353</v>
      </c>
      <c r="L43" s="242">
        <v>-1.3550167936303932</v>
      </c>
      <c r="M43" s="242">
        <v>-1.1534711959366513</v>
      </c>
      <c r="N43" s="223">
        <v>-0.95192559824290901</v>
      </c>
    </row>
    <row r="44" spans="2:14" x14ac:dyDescent="0.25">
      <c r="B44" s="707"/>
      <c r="C44" s="241">
        <v>0.1</v>
      </c>
      <c r="D44" s="237">
        <v>-2.986461315871825</v>
      </c>
      <c r="E44" s="237">
        <v>-2.7836198154961784</v>
      </c>
      <c r="F44" s="237">
        <v>-2.5807783151205324</v>
      </c>
      <c r="G44" s="242">
        <v>-2.3779368147448858</v>
      </c>
      <c r="H44" s="242">
        <v>-2.1750953143692402</v>
      </c>
      <c r="I44" s="242">
        <v>-1.9722538139935939</v>
      </c>
      <c r="J44" s="242">
        <v>-1.7694123136179476</v>
      </c>
      <c r="K44" s="242">
        <v>-1.5665708132423015</v>
      </c>
      <c r="L44" s="242">
        <v>-1.3637293128666554</v>
      </c>
      <c r="M44" s="242">
        <v>-1.1608878124910091</v>
      </c>
      <c r="N44" s="223">
        <v>-0.95804631211536306</v>
      </c>
    </row>
    <row r="45" spans="2:14" x14ac:dyDescent="0.25">
      <c r="B45" s="707"/>
      <c r="C45" s="241">
        <v>0.2</v>
      </c>
      <c r="D45" s="237">
        <v>-3.0057880031280146</v>
      </c>
      <c r="E45" s="237">
        <v>-2.8016338273731489</v>
      </c>
      <c r="F45" s="237">
        <v>-2.5974796516182828</v>
      </c>
      <c r="G45" s="242">
        <v>-2.393325475863417</v>
      </c>
      <c r="H45" s="242">
        <v>-2.1891713001085518</v>
      </c>
      <c r="I45" s="242">
        <v>-1.985017124353686</v>
      </c>
      <c r="J45" s="242">
        <v>-1.7808629485988201</v>
      </c>
      <c r="K45" s="242">
        <v>-1.5767087728439546</v>
      </c>
      <c r="L45" s="242">
        <v>-1.3725545970890891</v>
      </c>
      <c r="M45" s="242">
        <v>-1.1684004213342234</v>
      </c>
      <c r="N45" s="223">
        <v>-0.96424624557935779</v>
      </c>
    </row>
    <row r="46" spans="2:14" x14ac:dyDescent="0.25">
      <c r="B46" s="707"/>
      <c r="C46" s="241">
        <v>0.3</v>
      </c>
      <c r="D46" s="237">
        <v>-3.0253664624721273</v>
      </c>
      <c r="E46" s="237">
        <v>-2.8198825108894958</v>
      </c>
      <c r="F46" s="237">
        <v>-2.6143985593068644</v>
      </c>
      <c r="G46" s="242">
        <v>-2.4089146077242329</v>
      </c>
      <c r="H46" s="242">
        <v>-2.2034306561416024</v>
      </c>
      <c r="I46" s="242">
        <v>-1.9979467045589707</v>
      </c>
      <c r="J46" s="242">
        <v>-1.7924627529763393</v>
      </c>
      <c r="K46" s="242">
        <v>-1.5869788013937083</v>
      </c>
      <c r="L46" s="242">
        <v>-1.3814948498110771</v>
      </c>
      <c r="M46" s="242">
        <v>-1.1760108982284458</v>
      </c>
      <c r="N46" s="223">
        <v>-0.97052694664581451</v>
      </c>
    </row>
    <row r="47" spans="2:14" x14ac:dyDescent="0.25">
      <c r="B47" s="707"/>
      <c r="C47" s="241">
        <v>0.4</v>
      </c>
      <c r="D47" s="237">
        <v>-3.045201645977536</v>
      </c>
      <c r="E47" s="237">
        <v>-2.8383704817720319</v>
      </c>
      <c r="F47" s="237">
        <v>-2.6315393175665278</v>
      </c>
      <c r="G47" s="242">
        <v>-2.4247081533610237</v>
      </c>
      <c r="H47" s="242">
        <v>-2.2178769891555201</v>
      </c>
      <c r="I47" s="242">
        <v>-2.011045824950016</v>
      </c>
      <c r="J47" s="242">
        <v>-1.804214660744512</v>
      </c>
      <c r="K47" s="242">
        <v>-1.5973834965390084</v>
      </c>
      <c r="L47" s="242">
        <v>-1.3905523323335045</v>
      </c>
      <c r="M47" s="242">
        <v>-1.1837211681280007</v>
      </c>
      <c r="N47" s="223">
        <v>-0.9768900039224967</v>
      </c>
    </row>
    <row r="48" spans="2:14" x14ac:dyDescent="0.25">
      <c r="B48" s="707"/>
      <c r="C48" s="241">
        <v>0.5</v>
      </c>
      <c r="D48" s="237">
        <v>-3.0652986364436274</v>
      </c>
      <c r="E48" s="237">
        <v>-2.8571024775946263</v>
      </c>
      <c r="F48" s="237">
        <v>-2.6489063187456248</v>
      </c>
      <c r="G48" s="242">
        <v>-2.4407101598966232</v>
      </c>
      <c r="H48" s="242">
        <v>-2.2325140010476225</v>
      </c>
      <c r="I48" s="242">
        <v>-2.024317842198621</v>
      </c>
      <c r="J48" s="242">
        <v>-1.8161216833496197</v>
      </c>
      <c r="K48" s="242">
        <v>-1.6079255245006185</v>
      </c>
      <c r="L48" s="242">
        <v>-1.3997293656516174</v>
      </c>
      <c r="M48" s="242">
        <v>-1.1915332068026161</v>
      </c>
      <c r="N48" s="223">
        <v>-0.98333704795361487</v>
      </c>
    </row>
    <row r="49" spans="2:14" x14ac:dyDescent="0.25">
      <c r="B49" s="707"/>
      <c r="C49" s="241">
        <v>0.6</v>
      </c>
      <c r="D49" s="237">
        <v>-3.0856626517381383</v>
      </c>
      <c r="E49" s="237">
        <v>-2.8760833618256076</v>
      </c>
      <c r="F49" s="237">
        <v>-2.6665040719130766</v>
      </c>
      <c r="G49" s="242">
        <v>-2.456924782000546</v>
      </c>
      <c r="H49" s="242">
        <v>-2.2473454920880158</v>
      </c>
      <c r="I49" s="242">
        <v>-2.0377662021754848</v>
      </c>
      <c r="J49" s="242">
        <v>-1.8281869122629539</v>
      </c>
      <c r="K49" s="242">
        <v>-1.6186076223504235</v>
      </c>
      <c r="L49" s="242">
        <v>-1.4090283324378929</v>
      </c>
      <c r="M49" s="242">
        <v>-1.1994490425253623</v>
      </c>
      <c r="N49" s="223">
        <v>-0.98986975261283172</v>
      </c>
    </row>
    <row r="50" spans="2:14" x14ac:dyDescent="0.25">
      <c r="B50" s="707"/>
      <c r="C50" s="241">
        <v>0.7</v>
      </c>
      <c r="D50" s="237">
        <v>-3.1062990493137237</v>
      </c>
      <c r="E50" s="237">
        <v>-2.8953181280375673</v>
      </c>
      <c r="F50" s="237">
        <v>-2.6843372067614109</v>
      </c>
      <c r="G50" s="242">
        <v>-2.4733562854852549</v>
      </c>
      <c r="H50" s="242">
        <v>-2.2623753642090989</v>
      </c>
      <c r="I50" s="242">
        <v>-2.0513944429329429</v>
      </c>
      <c r="J50" s="242">
        <v>-1.8404135216567865</v>
      </c>
      <c r="K50" s="242">
        <v>-1.6294326003806308</v>
      </c>
      <c r="L50" s="242">
        <v>-1.4184516791044748</v>
      </c>
      <c r="M50" s="242">
        <v>-1.2074707578283186</v>
      </c>
      <c r="N50" s="223">
        <v>-0.9964898365521625</v>
      </c>
    </row>
    <row r="51" spans="2:14" x14ac:dyDescent="0.25">
      <c r="B51" s="707"/>
      <c r="C51" s="241">
        <v>0.8</v>
      </c>
      <c r="D51" s="237">
        <v>-3.1272133309069874</v>
      </c>
      <c r="E51" s="237">
        <v>-2.9148119042872289</v>
      </c>
      <c r="F51" s="237">
        <v>-2.7024104776674709</v>
      </c>
      <c r="G51" s="242">
        <v>-2.4900090510477129</v>
      </c>
      <c r="H51" s="242">
        <v>-2.2776076244279553</v>
      </c>
      <c r="I51" s="242">
        <v>-2.0652061978081968</v>
      </c>
      <c r="J51" s="242">
        <v>-1.8528047711884388</v>
      </c>
      <c r="K51" s="242">
        <v>-1.640403344568681</v>
      </c>
      <c r="L51" s="242">
        <v>-1.4280019179489229</v>
      </c>
      <c r="M51" s="242">
        <v>-1.2156004913291649</v>
      </c>
      <c r="N51" s="223">
        <v>-1.0031990647094069</v>
      </c>
    </row>
    <row r="52" spans="2:14" x14ac:dyDescent="0.25">
      <c r="B52" s="707"/>
      <c r="C52" s="241">
        <v>0.9</v>
      </c>
      <c r="D52" s="237">
        <v>-3.1484111474286252</v>
      </c>
      <c r="E52" s="237">
        <v>-2.9345699576734514</v>
      </c>
      <c r="F52" s="237">
        <v>-2.7207287679182781</v>
      </c>
      <c r="G52" s="242">
        <v>-2.5068875781631044</v>
      </c>
      <c r="H52" s="242">
        <v>-2.2930463884079311</v>
      </c>
      <c r="I52" s="242">
        <v>-2.0792051986527573</v>
      </c>
      <c r="J52" s="242">
        <v>-1.8653640088975838</v>
      </c>
      <c r="K52" s="242">
        <v>-1.6515228191424105</v>
      </c>
      <c r="L52" s="242">
        <v>-1.437681629387237</v>
      </c>
      <c r="M52" s="242">
        <v>-1.2238404396320635</v>
      </c>
      <c r="N52" s="223">
        <v>-1.0099992498768899</v>
      </c>
    </row>
    <row r="53" spans="2:14" x14ac:dyDescent="0.25">
      <c r="B53" s="708"/>
      <c r="C53" s="247">
        <v>1</v>
      </c>
      <c r="D53" s="244">
        <v>-3.1698983040538162</v>
      </c>
      <c r="E53" s="244">
        <v>-2.9545976990818783</v>
      </c>
      <c r="F53" s="244">
        <v>-2.7392970941099408</v>
      </c>
      <c r="G53" s="245">
        <v>-2.5239964891380033</v>
      </c>
      <c r="H53" s="245">
        <v>-2.3086958841660663</v>
      </c>
      <c r="I53" s="245">
        <v>-2.0933952791941284</v>
      </c>
      <c r="J53" s="245">
        <v>-1.8780946742221909</v>
      </c>
      <c r="K53" s="245">
        <v>-1.6627940692502536</v>
      </c>
      <c r="L53" s="245">
        <v>-1.4474934642783164</v>
      </c>
      <c r="M53" s="245">
        <v>-1.2321928593063789</v>
      </c>
      <c r="N53" s="224">
        <v>-1.0168922543344414</v>
      </c>
    </row>
  </sheetData>
  <sheetProtection algorithmName="SHA-512" hashValue="dqd+ettbIsAQzamG7hohEAWj7LYgqtK4GHeDrc5QXa4Nl9dV9iy4G95/67sKKPulFay1zzDhIR6amoURKm9xxg==" saltValue="Jdn/cjq3bnIHWs2UgDdX4Q==" spinCount="100000" sheet="1" objects="1" scenarios="1"/>
  <mergeCells count="10">
    <mergeCell ref="D25:N25"/>
    <mergeCell ref="B27:B37"/>
    <mergeCell ref="D41:N41"/>
    <mergeCell ref="B43:B53"/>
    <mergeCell ref="Q5:R5"/>
    <mergeCell ref="N5:O5"/>
    <mergeCell ref="K5:L5"/>
    <mergeCell ref="B5:C5"/>
    <mergeCell ref="H5:I5"/>
    <mergeCell ref="E5:F5"/>
  </mergeCells>
  <conditionalFormatting sqref="D27:N37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conditionalFormatting sqref="D43:N53">
    <cfRule type="colorScale" priority="1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CC"/>
  </sheetPr>
  <dimension ref="A1:V38"/>
  <sheetViews>
    <sheetView view="pageBreakPreview" zoomScale="60" zoomScaleNormal="85" workbookViewId="0">
      <selection activeCell="S29" sqref="S29"/>
    </sheetView>
  </sheetViews>
  <sheetFormatPr defaultColWidth="8.85546875" defaultRowHeight="15" x14ac:dyDescent="0.25"/>
  <cols>
    <col min="1" max="1" width="9.42578125" customWidth="1"/>
    <col min="2" max="3" width="14.28515625" bestFit="1" customWidth="1"/>
    <col min="4" max="4" width="13.42578125" customWidth="1"/>
    <col min="5" max="5" width="11.140625" customWidth="1"/>
    <col min="6" max="6" width="12" customWidth="1"/>
    <col min="8" max="8" width="12" customWidth="1"/>
    <col min="9" max="9" width="14" customWidth="1"/>
    <col min="10" max="10" width="14.85546875" customWidth="1"/>
    <col min="11" max="11" width="13.42578125" customWidth="1"/>
    <col min="12" max="12" width="13.42578125" bestFit="1" customWidth="1"/>
    <col min="13" max="16" width="13.85546875" customWidth="1"/>
    <col min="17" max="17" width="14.7109375" customWidth="1"/>
    <col min="18" max="18" width="14" customWidth="1"/>
    <col min="19" max="19" width="14.42578125" customWidth="1"/>
    <col min="20" max="20" width="14.28515625" bestFit="1" customWidth="1"/>
    <col min="21" max="21" width="13.7109375" customWidth="1"/>
    <col min="22" max="22" width="15.42578125" customWidth="1"/>
  </cols>
  <sheetData>
    <row r="1" spans="1:22" ht="15.75" customHeight="1" thickBot="1" x14ac:dyDescent="0.3">
      <c r="A1" s="18"/>
      <c r="B1" s="695" t="s">
        <v>44</v>
      </c>
      <c r="C1" s="696"/>
      <c r="D1" s="697"/>
      <c r="E1" s="695" t="s">
        <v>45</v>
      </c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7"/>
      <c r="Q1" s="698" t="s">
        <v>46</v>
      </c>
      <c r="R1" s="699"/>
      <c r="S1" s="699"/>
      <c r="T1" s="699"/>
      <c r="U1" s="699"/>
      <c r="V1" s="700"/>
    </row>
    <row r="2" spans="1:22" ht="24" customHeight="1" x14ac:dyDescent="0.25">
      <c r="A2" s="8"/>
      <c r="B2" s="698" t="s">
        <v>47</v>
      </c>
      <c r="C2" s="699"/>
      <c r="D2" s="700"/>
      <c r="E2" s="713" t="s">
        <v>48</v>
      </c>
      <c r="F2" s="714"/>
      <c r="G2" s="715"/>
      <c r="H2" s="716" t="s">
        <v>49</v>
      </c>
      <c r="I2" s="714"/>
      <c r="J2" s="715"/>
      <c r="K2" s="716" t="s">
        <v>50</v>
      </c>
      <c r="L2" s="714"/>
      <c r="M2" s="715"/>
      <c r="N2" s="716" t="s">
        <v>198</v>
      </c>
      <c r="O2" s="714"/>
      <c r="P2" s="717"/>
      <c r="Q2" s="699" t="s">
        <v>17</v>
      </c>
      <c r="R2" s="699"/>
      <c r="S2" s="700"/>
      <c r="T2" s="699" t="s">
        <v>18</v>
      </c>
      <c r="U2" s="699"/>
      <c r="V2" s="700"/>
    </row>
    <row r="3" spans="1:22" ht="18.600000000000001" customHeight="1" thickBot="1" x14ac:dyDescent="0.3">
      <c r="A3" s="19" t="s">
        <v>23</v>
      </c>
      <c r="B3" s="23" t="s">
        <v>237</v>
      </c>
      <c r="C3" s="20" t="s">
        <v>176</v>
      </c>
      <c r="D3" s="24" t="s">
        <v>24</v>
      </c>
      <c r="E3" s="14" t="s">
        <v>237</v>
      </c>
      <c r="F3" s="15" t="s">
        <v>176</v>
      </c>
      <c r="G3" s="22" t="s">
        <v>24</v>
      </c>
      <c r="H3" s="21" t="s">
        <v>237</v>
      </c>
      <c r="I3" s="15" t="s">
        <v>176</v>
      </c>
      <c r="J3" s="22" t="s">
        <v>24</v>
      </c>
      <c r="K3" s="21" t="s">
        <v>237</v>
      </c>
      <c r="L3" s="15" t="s">
        <v>176</v>
      </c>
      <c r="M3" s="22" t="s">
        <v>24</v>
      </c>
      <c r="N3" s="21" t="s">
        <v>237</v>
      </c>
      <c r="O3" s="15" t="s">
        <v>176</v>
      </c>
      <c r="P3" s="16" t="s">
        <v>24</v>
      </c>
      <c r="Q3" s="15" t="s">
        <v>237</v>
      </c>
      <c r="R3" s="15" t="s">
        <v>176</v>
      </c>
      <c r="S3" s="16" t="s">
        <v>24</v>
      </c>
      <c r="T3" s="15" t="s">
        <v>237</v>
      </c>
      <c r="U3" s="15" t="s">
        <v>176</v>
      </c>
      <c r="V3" s="16" t="s">
        <v>24</v>
      </c>
    </row>
    <row r="4" spans="1:22" x14ac:dyDescent="0.25">
      <c r="A4" s="32" t="s">
        <v>25</v>
      </c>
      <c r="B4" s="27">
        <f>'Parametre - Agendové IS'!D117</f>
        <v>2201000</v>
      </c>
      <c r="C4" s="27">
        <f>'Parametre - Agendové IS'!E117</f>
        <v>2201000</v>
      </c>
      <c r="D4" s="29">
        <f>IF(ISERR(C4-B4),"-",C4-B4)</f>
        <v>0</v>
      </c>
      <c r="E4" s="380"/>
      <c r="F4" s="381"/>
      <c r="G4" s="34">
        <f t="shared" ref="G4:G13" si="0">IF(ISERR(F4-E4),"-",F4-E4)</f>
        <v>0</v>
      </c>
      <c r="H4" s="30">
        <v>0</v>
      </c>
      <c r="I4" s="26">
        <f>'Parametre - Agendové IS'!E97</f>
        <v>0</v>
      </c>
      <c r="J4" s="34">
        <f>IF(ISERR(I4-H4),"-",I4-H4)</f>
        <v>0</v>
      </c>
      <c r="K4" s="27">
        <f>'Parametre - Agendové IS'!D127</f>
        <v>0</v>
      </c>
      <c r="L4" s="27">
        <f>'Parametre - Agendové IS'!E127</f>
        <v>0</v>
      </c>
      <c r="M4" s="29">
        <f>IF(ISERR(L4-K4),"-",L4-K4)</f>
        <v>0</v>
      </c>
      <c r="N4" s="26">
        <f>-'Parametre - Agendové IS'!D77</f>
        <v>-56897.961685823757</v>
      </c>
      <c r="O4" s="26">
        <f>-'Parametre - Agendové IS'!E77</f>
        <v>-56897.961685823757</v>
      </c>
      <c r="P4" s="34">
        <f t="shared" ref="P4:P13" si="1">IF(ISERR(O4-N4),"-",O4-N4)</f>
        <v>0</v>
      </c>
      <c r="Q4" s="27">
        <f>SUM(B4,E4)</f>
        <v>2201000</v>
      </c>
      <c r="R4" s="26">
        <f t="shared" ref="R4:R13" si="2">SUM(C4,F4)</f>
        <v>2201000</v>
      </c>
      <c r="S4" s="29">
        <f>R4-Q4</f>
        <v>0</v>
      </c>
      <c r="T4" s="27">
        <f>SUM(H4,K4,N4)</f>
        <v>-56897.961685823757</v>
      </c>
      <c r="U4" s="26">
        <f>SUM(I4,L4,O4)</f>
        <v>-56897.961685823757</v>
      </c>
      <c r="V4" s="29">
        <f>U4-T4</f>
        <v>0</v>
      </c>
    </row>
    <row r="5" spans="1:22" x14ac:dyDescent="0.25">
      <c r="A5" s="33" t="s">
        <v>26</v>
      </c>
      <c r="B5" s="27">
        <f>'Parametre - Agendové IS'!D118</f>
        <v>2751200</v>
      </c>
      <c r="C5" s="27">
        <f>'Parametre - Agendové IS'!E118</f>
        <v>3081200</v>
      </c>
      <c r="D5" s="29">
        <f t="shared" ref="D5:D13" si="3">IF(ISERR(C5-B5),"-",C5-B5)</f>
        <v>330000</v>
      </c>
      <c r="E5" s="380"/>
      <c r="F5" s="381"/>
      <c r="G5" s="29">
        <f t="shared" si="0"/>
        <v>0</v>
      </c>
      <c r="H5" s="30">
        <v>0</v>
      </c>
      <c r="I5" s="26">
        <f>'Parametre - Agendové IS'!E98</f>
        <v>0</v>
      </c>
      <c r="J5" s="152">
        <f>IF(ISERR(I5-H5),"-",I5-H5)</f>
        <v>0</v>
      </c>
      <c r="K5" s="27">
        <f>'Parametre - Agendové IS'!D128</f>
        <v>0</v>
      </c>
      <c r="L5" s="27">
        <f>'Parametre - Agendové IS'!E128</f>
        <v>0</v>
      </c>
      <c r="M5" s="29">
        <f t="shared" ref="M5:M13" si="4">IF(ISERR(L5-K5),"-",L5-K5)</f>
        <v>0</v>
      </c>
      <c r="N5" s="26">
        <f>-'Parametre - Agendové IS'!D78</f>
        <v>-68277.554022988508</v>
      </c>
      <c r="O5" s="26">
        <f>-'Parametre - Agendové IS'!E78</f>
        <v>-68277.554022988508</v>
      </c>
      <c r="P5" s="29">
        <f t="shared" si="1"/>
        <v>0</v>
      </c>
      <c r="Q5" s="27">
        <f t="shared" ref="Q5:Q13" si="5">SUM(B5,E5)</f>
        <v>2751200</v>
      </c>
      <c r="R5" s="26">
        <f t="shared" si="2"/>
        <v>3081200</v>
      </c>
      <c r="S5" s="29">
        <f t="shared" ref="S5:S12" si="6">R5-Q5</f>
        <v>330000</v>
      </c>
      <c r="T5" s="27">
        <f t="shared" ref="T5:U13" si="7">SUM(H5,K5,N5)</f>
        <v>-68277.554022988508</v>
      </c>
      <c r="U5" s="26">
        <f t="shared" si="7"/>
        <v>-68277.554022988508</v>
      </c>
      <c r="V5" s="29">
        <f t="shared" ref="V5:V13" si="8">U5-T5</f>
        <v>0</v>
      </c>
    </row>
    <row r="6" spans="1:22" x14ac:dyDescent="0.25">
      <c r="A6" s="33" t="s">
        <v>27</v>
      </c>
      <c r="B6" s="27">
        <f>'Parametre - Agendové IS'!D119</f>
        <v>3301200</v>
      </c>
      <c r="C6" s="27">
        <f>'Parametre - Agendové IS'!E119</f>
        <v>2128100</v>
      </c>
      <c r="D6" s="29">
        <f t="shared" si="3"/>
        <v>-1173100</v>
      </c>
      <c r="E6" s="380"/>
      <c r="F6" s="381"/>
      <c r="G6" s="29">
        <f t="shared" si="0"/>
        <v>0</v>
      </c>
      <c r="H6" s="30">
        <v>0</v>
      </c>
      <c r="I6" s="26">
        <f>'Parametre - Agendové IS'!E99</f>
        <v>3045562.5</v>
      </c>
      <c r="J6" s="29">
        <f t="shared" ref="J6:J13" si="9">IF(ISERR(I6-H6),"-",I6-H6)</f>
        <v>3045562.5</v>
      </c>
      <c r="K6" s="27">
        <f>'Parametre - Agendové IS'!D129</f>
        <v>0</v>
      </c>
      <c r="L6" s="27">
        <f>'Parametre - Agendové IS'!E129</f>
        <v>0</v>
      </c>
      <c r="M6" s="29">
        <f t="shared" si="4"/>
        <v>0</v>
      </c>
      <c r="N6" s="26">
        <f>-'Parametre - Agendové IS'!D79</f>
        <v>-68277.554022988508</v>
      </c>
      <c r="O6" s="26">
        <f>-'Parametre - Agendové IS'!E79</f>
        <v>-27311.021609195406</v>
      </c>
      <c r="P6" s="29">
        <f t="shared" si="1"/>
        <v>40966.532413793102</v>
      </c>
      <c r="Q6" s="27">
        <f t="shared" si="5"/>
        <v>3301200</v>
      </c>
      <c r="R6" s="26">
        <f t="shared" si="2"/>
        <v>2128100</v>
      </c>
      <c r="S6" s="29">
        <f t="shared" si="6"/>
        <v>-1173100</v>
      </c>
      <c r="T6" s="27">
        <f t="shared" si="7"/>
        <v>-68277.554022988508</v>
      </c>
      <c r="U6" s="26">
        <f t="shared" si="7"/>
        <v>3018251.4783908045</v>
      </c>
      <c r="V6" s="29">
        <f t="shared" si="8"/>
        <v>3086529.0324137928</v>
      </c>
    </row>
    <row r="7" spans="1:22" x14ac:dyDescent="0.25">
      <c r="A7" s="33" t="s">
        <v>28</v>
      </c>
      <c r="B7" s="27">
        <f>'Parametre - Agendové IS'!D120</f>
        <v>3850900</v>
      </c>
      <c r="C7" s="27">
        <f>'Parametre - Agendové IS'!E120</f>
        <v>2784450</v>
      </c>
      <c r="D7" s="29">
        <f t="shared" si="3"/>
        <v>-1066450</v>
      </c>
      <c r="E7" s="380"/>
      <c r="F7" s="381"/>
      <c r="G7" s="29">
        <f t="shared" si="0"/>
        <v>0</v>
      </c>
      <c r="H7" s="30">
        <v>0</v>
      </c>
      <c r="I7" s="26">
        <f>'Parametre - Agendové IS'!E100</f>
        <v>3854475</v>
      </c>
      <c r="J7" s="29">
        <f t="shared" si="9"/>
        <v>3854475</v>
      </c>
      <c r="K7" s="27">
        <f>'Parametre - Agendové IS'!D130</f>
        <v>0</v>
      </c>
      <c r="L7" s="27">
        <f>'Parametre - Agendové IS'!E130</f>
        <v>0</v>
      </c>
      <c r="M7" s="29">
        <f t="shared" si="4"/>
        <v>0</v>
      </c>
      <c r="N7" s="26">
        <f>-'Parametre - Agendové IS'!D80</f>
        <v>-51208.165517241381</v>
      </c>
      <c r="O7" s="26">
        <f>-'Parametre - Agendové IS'!E80</f>
        <v>-20483.266206896555</v>
      </c>
      <c r="P7" s="29">
        <f t="shared" si="1"/>
        <v>30724.899310344827</v>
      </c>
      <c r="Q7" s="27">
        <f t="shared" si="5"/>
        <v>3850900</v>
      </c>
      <c r="R7" s="26">
        <f t="shared" si="2"/>
        <v>2784450</v>
      </c>
      <c r="S7" s="29">
        <f t="shared" si="6"/>
        <v>-1066450</v>
      </c>
      <c r="T7" s="27">
        <f t="shared" si="7"/>
        <v>-51208.165517241381</v>
      </c>
      <c r="U7" s="26">
        <f t="shared" si="7"/>
        <v>3833991.7337931036</v>
      </c>
      <c r="V7" s="29">
        <f t="shared" si="8"/>
        <v>3885199.8993103448</v>
      </c>
    </row>
    <row r="8" spans="1:22" x14ac:dyDescent="0.25">
      <c r="A8" s="33" t="s">
        <v>29</v>
      </c>
      <c r="B8" s="27">
        <f>'Parametre - Agendové IS'!D121</f>
        <v>4400600</v>
      </c>
      <c r="C8" s="27">
        <f>'Parametre - Agendové IS'!E121</f>
        <v>3481050</v>
      </c>
      <c r="D8" s="29">
        <f t="shared" si="3"/>
        <v>-919550</v>
      </c>
      <c r="E8" s="380"/>
      <c r="F8" s="381"/>
      <c r="G8" s="29">
        <f t="shared" si="0"/>
        <v>0</v>
      </c>
      <c r="H8" s="30">
        <v>0</v>
      </c>
      <c r="I8" s="26">
        <f>'Parametre - Agendové IS'!E101</f>
        <v>4719581.25</v>
      </c>
      <c r="J8" s="29">
        <f t="shared" si="9"/>
        <v>4719581.25</v>
      </c>
      <c r="K8" s="27">
        <f>'Parametre - Agendové IS'!D131</f>
        <v>0</v>
      </c>
      <c r="L8" s="27">
        <f>'Parametre - Agendové IS'!E131</f>
        <v>0</v>
      </c>
      <c r="M8" s="29">
        <f t="shared" si="4"/>
        <v>0</v>
      </c>
      <c r="N8" s="26">
        <f>-'Parametre - Agendové IS'!D81</f>
        <v>-34138.777011494254</v>
      </c>
      <c r="O8" s="26">
        <f>-'Parametre - Agendové IS'!E81</f>
        <v>-13655.510804597703</v>
      </c>
      <c r="P8" s="29">
        <f t="shared" si="1"/>
        <v>20483.266206896551</v>
      </c>
      <c r="Q8" s="27">
        <f t="shared" si="5"/>
        <v>4400600</v>
      </c>
      <c r="R8" s="26">
        <f t="shared" si="2"/>
        <v>3481050</v>
      </c>
      <c r="S8" s="29">
        <f t="shared" si="6"/>
        <v>-919550</v>
      </c>
      <c r="T8" s="27">
        <f t="shared" si="7"/>
        <v>-34138.777011494254</v>
      </c>
      <c r="U8" s="26">
        <f t="shared" si="7"/>
        <v>4705925.7391954027</v>
      </c>
      <c r="V8" s="29">
        <f t="shared" si="8"/>
        <v>4740064.5162068969</v>
      </c>
    </row>
    <row r="9" spans="1:22" x14ac:dyDescent="0.25">
      <c r="A9" s="33" t="s">
        <v>30</v>
      </c>
      <c r="B9" s="27">
        <f>'Parametre - Agendové IS'!D122</f>
        <v>4950500</v>
      </c>
      <c r="C9" s="27">
        <f>'Parametre - Agendové IS'!E122</f>
        <v>4248250</v>
      </c>
      <c r="D9" s="29">
        <f t="shared" si="3"/>
        <v>-702250</v>
      </c>
      <c r="E9" s="380"/>
      <c r="F9" s="381"/>
      <c r="G9" s="29">
        <f t="shared" si="0"/>
        <v>0</v>
      </c>
      <c r="H9" s="30">
        <v>0</v>
      </c>
      <c r="I9" s="26">
        <f>'Parametre - Agendové IS'!E102</f>
        <v>5669325</v>
      </c>
      <c r="J9" s="29">
        <f t="shared" si="9"/>
        <v>5669325</v>
      </c>
      <c r="K9" s="27">
        <f>'Parametre - Agendové IS'!D132</f>
        <v>0</v>
      </c>
      <c r="L9" s="27">
        <f>'Parametre - Agendové IS'!E132</f>
        <v>0</v>
      </c>
      <c r="M9" s="29">
        <f t="shared" si="4"/>
        <v>0</v>
      </c>
      <c r="N9" s="26">
        <f>-'Parametre - Agendové IS'!D82</f>
        <v>-28448.980842911878</v>
      </c>
      <c r="O9" s="26">
        <f>-'Parametre - Agendové IS'!E82</f>
        <v>-11379.592337164751</v>
      </c>
      <c r="P9" s="29">
        <f t="shared" si="1"/>
        <v>17069.388505747127</v>
      </c>
      <c r="Q9" s="27">
        <f t="shared" si="5"/>
        <v>4950500</v>
      </c>
      <c r="R9" s="26">
        <f t="shared" si="2"/>
        <v>4248250</v>
      </c>
      <c r="S9" s="29">
        <f t="shared" si="6"/>
        <v>-702250</v>
      </c>
      <c r="T9" s="27">
        <f t="shared" si="7"/>
        <v>-28448.980842911878</v>
      </c>
      <c r="U9" s="26">
        <f t="shared" si="7"/>
        <v>5657945.407662835</v>
      </c>
      <c r="V9" s="29">
        <f t="shared" si="8"/>
        <v>5686394.3885057466</v>
      </c>
    </row>
    <row r="10" spans="1:22" x14ac:dyDescent="0.25">
      <c r="A10" s="33" t="s">
        <v>31</v>
      </c>
      <c r="B10" s="27">
        <f>'Parametre - Agendové IS'!D123</f>
        <v>5500400</v>
      </c>
      <c r="C10" s="27">
        <f>'Parametre - Agendové IS'!E123</f>
        <v>5027950</v>
      </c>
      <c r="D10" s="29">
        <f t="shared" si="3"/>
        <v>-472450</v>
      </c>
      <c r="E10" s="380"/>
      <c r="F10" s="381"/>
      <c r="G10" s="29">
        <f t="shared" si="0"/>
        <v>0</v>
      </c>
      <c r="H10" s="30">
        <v>0</v>
      </c>
      <c r="I10" s="26">
        <f>'Parametre - Agendové IS'!E103</f>
        <v>6653756.25</v>
      </c>
      <c r="J10" s="29">
        <f t="shared" si="9"/>
        <v>6653756.25</v>
      </c>
      <c r="K10" s="27">
        <f>'Parametre - Agendové IS'!D133</f>
        <v>0</v>
      </c>
      <c r="L10" s="27">
        <f>'Parametre - Agendové IS'!E133</f>
        <v>0</v>
      </c>
      <c r="M10" s="29">
        <f t="shared" si="4"/>
        <v>0</v>
      </c>
      <c r="N10" s="26">
        <f>-'Parametre - Agendové IS'!D83</f>
        <v>-22759.184674329503</v>
      </c>
      <c r="O10" s="26">
        <f>-'Parametre - Agendové IS'!E83</f>
        <v>-9103.6738697318015</v>
      </c>
      <c r="P10" s="29">
        <f t="shared" si="1"/>
        <v>13655.510804597701</v>
      </c>
      <c r="Q10" s="27">
        <f t="shared" si="5"/>
        <v>5500400</v>
      </c>
      <c r="R10" s="26">
        <f t="shared" si="2"/>
        <v>5027950</v>
      </c>
      <c r="S10" s="29">
        <f t="shared" si="6"/>
        <v>-472450</v>
      </c>
      <c r="T10" s="27">
        <f t="shared" si="7"/>
        <v>-22759.184674329503</v>
      </c>
      <c r="U10" s="26">
        <f t="shared" si="7"/>
        <v>6644652.5761302682</v>
      </c>
      <c r="V10" s="29">
        <f t="shared" si="8"/>
        <v>6667411.7608045973</v>
      </c>
    </row>
    <row r="11" spans="1:22" x14ac:dyDescent="0.25">
      <c r="A11" s="33" t="s">
        <v>32</v>
      </c>
      <c r="B11" s="27">
        <f>'Parametre - Agendové IS'!D124</f>
        <v>5830400</v>
      </c>
      <c r="C11" s="27">
        <f>'Parametre - Agendové IS'!E124</f>
        <v>5760200</v>
      </c>
      <c r="D11" s="29">
        <f t="shared" si="3"/>
        <v>-70200</v>
      </c>
      <c r="E11" s="380"/>
      <c r="F11" s="381"/>
      <c r="G11" s="29">
        <f t="shared" si="0"/>
        <v>0</v>
      </c>
      <c r="H11" s="30">
        <v>0</v>
      </c>
      <c r="I11" s="26">
        <f>'Parametre - Agendové IS'!E104</f>
        <v>7534125</v>
      </c>
      <c r="J11" s="29">
        <f t="shared" si="9"/>
        <v>7534125</v>
      </c>
      <c r="K11" s="27">
        <f>'Parametre - Agendové IS'!D134</f>
        <v>0</v>
      </c>
      <c r="L11" s="27">
        <f>'Parametre - Agendové IS'!E134</f>
        <v>0</v>
      </c>
      <c r="M11" s="29">
        <f t="shared" si="4"/>
        <v>0</v>
      </c>
      <c r="N11" s="26">
        <f>-'Parametre - Agendové IS'!D84</f>
        <v>-22759.184674329503</v>
      </c>
      <c r="O11" s="26">
        <f>-'Parametre - Agendové IS'!E84</f>
        <v>-9103.6738697318015</v>
      </c>
      <c r="P11" s="29">
        <f t="shared" si="1"/>
        <v>13655.510804597701</v>
      </c>
      <c r="Q11" s="27">
        <f t="shared" si="5"/>
        <v>5830400</v>
      </c>
      <c r="R11" s="26">
        <f t="shared" si="2"/>
        <v>5760200</v>
      </c>
      <c r="S11" s="29">
        <f t="shared" si="6"/>
        <v>-70200</v>
      </c>
      <c r="T11" s="27">
        <f t="shared" si="7"/>
        <v>-22759.184674329503</v>
      </c>
      <c r="U11" s="26">
        <f t="shared" si="7"/>
        <v>7525021.3261302682</v>
      </c>
      <c r="V11" s="29">
        <f t="shared" si="8"/>
        <v>7547780.5108045973</v>
      </c>
    </row>
    <row r="12" spans="1:22" x14ac:dyDescent="0.25">
      <c r="A12" s="33" t="s">
        <v>33</v>
      </c>
      <c r="B12" s="27">
        <f>'Parametre - Agendové IS'!D125</f>
        <v>6160400</v>
      </c>
      <c r="C12" s="27">
        <f>'Parametre - Agendové IS'!E125</f>
        <v>6687700</v>
      </c>
      <c r="D12" s="29">
        <f t="shared" si="3"/>
        <v>527300</v>
      </c>
      <c r="E12" s="380"/>
      <c r="F12" s="381"/>
      <c r="G12" s="29">
        <f t="shared" si="0"/>
        <v>0</v>
      </c>
      <c r="H12" s="30">
        <v>0</v>
      </c>
      <c r="I12" s="26">
        <f>'Parametre - Agendové IS'!E105</f>
        <v>9011812.5</v>
      </c>
      <c r="J12" s="29">
        <f t="shared" si="9"/>
        <v>9011812.5</v>
      </c>
      <c r="K12" s="27">
        <f>'Parametre - Agendové IS'!D135</f>
        <v>0</v>
      </c>
      <c r="L12" s="27">
        <f>'Parametre - Agendové IS'!E135</f>
        <v>0</v>
      </c>
      <c r="M12" s="29">
        <f t="shared" si="4"/>
        <v>0</v>
      </c>
      <c r="N12" s="26">
        <f>-'Parametre - Agendové IS'!D85</f>
        <v>-22759.184674329503</v>
      </c>
      <c r="O12" s="26">
        <f>-'Parametre - Agendové IS'!E85</f>
        <v>-9103.6738697318015</v>
      </c>
      <c r="P12" s="29">
        <f t="shared" si="1"/>
        <v>13655.510804597701</v>
      </c>
      <c r="Q12" s="27">
        <f t="shared" si="5"/>
        <v>6160400</v>
      </c>
      <c r="R12" s="26">
        <f t="shared" si="2"/>
        <v>6687700</v>
      </c>
      <c r="S12" s="29">
        <f t="shared" si="6"/>
        <v>527300</v>
      </c>
      <c r="T12" s="27">
        <f t="shared" si="7"/>
        <v>-22759.184674329503</v>
      </c>
      <c r="U12" s="26">
        <f t="shared" si="7"/>
        <v>9002708.8261302691</v>
      </c>
      <c r="V12" s="29">
        <f t="shared" si="8"/>
        <v>9025468.0108045992</v>
      </c>
    </row>
    <row r="13" spans="1:22" ht="15.6" customHeight="1" thickBot="1" x14ac:dyDescent="0.3">
      <c r="A13" s="33" t="s">
        <v>34</v>
      </c>
      <c r="B13" s="47">
        <f>'Parametre - Agendové IS'!D126</f>
        <v>6380400</v>
      </c>
      <c r="C13" s="47">
        <f>'Parametre - Agendové IS'!E126</f>
        <v>6305200</v>
      </c>
      <c r="D13" s="173">
        <f t="shared" si="3"/>
        <v>-75200</v>
      </c>
      <c r="E13" s="382"/>
      <c r="F13" s="383"/>
      <c r="G13" s="173">
        <f t="shared" si="0"/>
        <v>0</v>
      </c>
      <c r="H13" s="30">
        <v>0</v>
      </c>
      <c r="I13" s="43">
        <f>'Parametre - Agendové IS'!E106</f>
        <v>9143625</v>
      </c>
      <c r="J13" s="173">
        <f t="shared" si="9"/>
        <v>9143625</v>
      </c>
      <c r="K13" s="47">
        <f>'Parametre - Agendové IS'!D136</f>
        <v>0</v>
      </c>
      <c r="L13" s="47">
        <f>'Parametre - Agendové IS'!E136</f>
        <v>0</v>
      </c>
      <c r="M13" s="173">
        <f t="shared" si="4"/>
        <v>0</v>
      </c>
      <c r="N13" s="43">
        <f>-'Parametre - Agendové IS'!D86</f>
        <v>-22759.184674329503</v>
      </c>
      <c r="O13" s="43">
        <f>-'Parametre - Agendové IS'!E86</f>
        <v>-9103.6738697318015</v>
      </c>
      <c r="P13" s="43">
        <f t="shared" si="1"/>
        <v>13655.510804597701</v>
      </c>
      <c r="Q13" s="176">
        <f t="shared" si="5"/>
        <v>6380400</v>
      </c>
      <c r="R13" s="43">
        <f t="shared" si="2"/>
        <v>6305200</v>
      </c>
      <c r="S13" s="173">
        <f>R13-Q13</f>
        <v>-75200</v>
      </c>
      <c r="T13" s="47">
        <f t="shared" si="7"/>
        <v>-22759.184674329503</v>
      </c>
      <c r="U13" s="43">
        <f t="shared" si="7"/>
        <v>9134521.3261302691</v>
      </c>
      <c r="V13" s="173">
        <f t="shared" si="8"/>
        <v>9157280.5108045992</v>
      </c>
    </row>
    <row r="14" spans="1:22" x14ac:dyDescent="0.25">
      <c r="A14" s="177" t="s">
        <v>105</v>
      </c>
      <c r="B14" s="599">
        <f>SUM(B4:B13)</f>
        <v>45327000</v>
      </c>
      <c r="C14" s="599">
        <f t="shared" ref="C14:P14" si="10">SUM(C4:C13)</f>
        <v>41705100</v>
      </c>
      <c r="D14" s="600">
        <f t="shared" si="10"/>
        <v>-3621900</v>
      </c>
      <c r="E14" s="599">
        <f t="shared" si="10"/>
        <v>0</v>
      </c>
      <c r="F14" s="601">
        <f t="shared" si="10"/>
        <v>0</v>
      </c>
      <c r="G14" s="600">
        <f t="shared" si="10"/>
        <v>0</v>
      </c>
      <c r="H14" s="599">
        <f t="shared" si="10"/>
        <v>0</v>
      </c>
      <c r="I14" s="601">
        <f t="shared" si="10"/>
        <v>49632262.5</v>
      </c>
      <c r="J14" s="600">
        <f t="shared" si="10"/>
        <v>49632262.5</v>
      </c>
      <c r="K14" s="599">
        <f t="shared" si="10"/>
        <v>0</v>
      </c>
      <c r="L14" s="599">
        <f t="shared" si="10"/>
        <v>0</v>
      </c>
      <c r="M14" s="600">
        <f t="shared" si="10"/>
        <v>0</v>
      </c>
      <c r="N14" s="601">
        <f t="shared" si="10"/>
        <v>-398285.7318007662</v>
      </c>
      <c r="O14" s="601">
        <f t="shared" si="10"/>
        <v>-234419.6021455939</v>
      </c>
      <c r="P14" s="602">
        <f t="shared" si="10"/>
        <v>163866.12965517241</v>
      </c>
      <c r="Q14" s="603">
        <f t="shared" ref="Q14:V14" si="11">SUM(Q4:Q13)</f>
        <v>45327000</v>
      </c>
      <c r="R14" s="601">
        <f t="shared" si="11"/>
        <v>41705100</v>
      </c>
      <c r="S14" s="604">
        <f t="shared" si="11"/>
        <v>-3621900</v>
      </c>
      <c r="T14" s="603">
        <f t="shared" si="11"/>
        <v>-398285.7318007662</v>
      </c>
      <c r="U14" s="601">
        <f t="shared" si="11"/>
        <v>49397842.89785441</v>
      </c>
      <c r="V14" s="605">
        <f t="shared" si="11"/>
        <v>49796128.629655175</v>
      </c>
    </row>
    <row r="15" spans="1:22" ht="15.75" thickBot="1" x14ac:dyDescent="0.3">
      <c r="A15" s="178" t="s">
        <v>162</v>
      </c>
      <c r="B15" s="606"/>
      <c r="C15" s="606"/>
      <c r="D15" s="607">
        <f>D4+NPV(Faktory!$D$5,'Prínosy - Agendové IS'!D5:D13)</f>
        <v>-3071753.9733626279</v>
      </c>
      <c r="E15" s="608"/>
      <c r="F15" s="609"/>
      <c r="G15" s="607">
        <f>G4+NPV(Faktory!$D$3,'Prínosy - Agendové IS'!G5:G13)</f>
        <v>0</v>
      </c>
      <c r="H15" s="608"/>
      <c r="I15" s="609"/>
      <c r="J15" s="607">
        <f>J4+NPV(Faktory!$D$5,'Prínosy - Agendové IS'!J5:J13)</f>
        <v>36730040.012014061</v>
      </c>
      <c r="K15" s="606"/>
      <c r="L15" s="606"/>
      <c r="M15" s="607">
        <f>M4+NPV(Faktory!$D$5,'Prínosy - Agendové IS'!M5:M13)</f>
        <v>0</v>
      </c>
      <c r="N15" s="609"/>
      <c r="O15" s="609"/>
      <c r="P15" s="610">
        <f>P4+NPV(Faktory!$D$5,'Prínosy - Agendové IS'!P5:P13)</f>
        <v>131864.84233984904</v>
      </c>
      <c r="Q15" s="611"/>
      <c r="R15" s="609"/>
      <c r="S15" s="607">
        <f>S4+NPV(Faktory!$D$5,'Prínosy - Agendové IS'!S5:S13)</f>
        <v>-3071753.9733626279</v>
      </c>
      <c r="T15" s="611"/>
      <c r="U15" s="609"/>
      <c r="V15" s="607">
        <f>V4+NPV(Faktory!$D$5,'Prínosy - Agendové IS'!V5:V13)</f>
        <v>36861904.854353905</v>
      </c>
    </row>
    <row r="17" spans="2:2" x14ac:dyDescent="0.25">
      <c r="B17" s="107" t="s">
        <v>179</v>
      </c>
    </row>
    <row r="38" spans="15:15" x14ac:dyDescent="0.25">
      <c r="O38" s="175"/>
    </row>
  </sheetData>
  <protectedRanges>
    <protectedRange algorithmName="SHA-512" hashValue="f4ycvS5NMakRYlpexdvZE7kc5B00PVZgCpNS64jzUJaJceYSE+aleudxwPGxr22CZo/5IZ2uTHVQQMolnN60/A==" saltValue="c0KVc6r/LTYq/uhy9236YA==" spinCount="100000" sqref="E2:G15" name="Rozsah1"/>
  </protectedRanges>
  <mergeCells count="10">
    <mergeCell ref="B1:D1"/>
    <mergeCell ref="Q1:V1"/>
    <mergeCell ref="B2:D2"/>
    <mergeCell ref="E2:G2"/>
    <mergeCell ref="H2:J2"/>
    <mergeCell ref="K2:M2"/>
    <mergeCell ref="Q2:S2"/>
    <mergeCell ref="T2:V2"/>
    <mergeCell ref="N2:P2"/>
    <mergeCell ref="E1:P1"/>
  </mergeCells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2"/>
  <sheetViews>
    <sheetView view="pageBreakPreview" topLeftCell="B1" zoomScale="60" zoomScaleNormal="80" workbookViewId="0">
      <selection activeCell="Q9" sqref="Q9"/>
    </sheetView>
  </sheetViews>
  <sheetFormatPr defaultColWidth="8.85546875" defaultRowHeight="15" x14ac:dyDescent="0.25"/>
  <cols>
    <col min="2" max="2" width="14.28515625" customWidth="1"/>
    <col min="3" max="3" width="15.85546875" bestFit="1" customWidth="1"/>
    <col min="4" max="4" width="16.7109375" bestFit="1" customWidth="1"/>
    <col min="5" max="6" width="13.42578125" bestFit="1" customWidth="1"/>
    <col min="7" max="7" width="16.7109375" bestFit="1" customWidth="1"/>
    <col min="8" max="8" width="14.42578125" bestFit="1" customWidth="1"/>
    <col min="9" max="9" width="13.42578125" bestFit="1" customWidth="1"/>
    <col min="10" max="10" width="16.7109375" bestFit="1" customWidth="1"/>
    <col min="11" max="16" width="16.7109375" customWidth="1"/>
    <col min="17" max="17" width="13.42578125" bestFit="1" customWidth="1"/>
    <col min="18" max="18" width="15.85546875" bestFit="1" customWidth="1"/>
    <col min="19" max="19" width="15.28515625" customWidth="1"/>
    <col min="20" max="21" width="17" bestFit="1" customWidth="1"/>
    <col min="22" max="22" width="14.28515625" bestFit="1" customWidth="1"/>
  </cols>
  <sheetData>
    <row r="1" spans="1:23" ht="15.75" customHeight="1" thickBot="1" x14ac:dyDescent="0.3">
      <c r="A1" s="37"/>
      <c r="B1" s="719" t="s">
        <v>192</v>
      </c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1"/>
      <c r="N1" s="719" t="s">
        <v>330</v>
      </c>
      <c r="O1" s="720"/>
      <c r="P1" s="721"/>
      <c r="Q1" s="718" t="s">
        <v>69</v>
      </c>
      <c r="R1" s="718"/>
      <c r="S1" s="718"/>
      <c r="T1" s="695" t="s">
        <v>70</v>
      </c>
      <c r="U1" s="696"/>
      <c r="V1" s="697"/>
    </row>
    <row r="2" spans="1:23" ht="15.75" customHeight="1" thickBot="1" x14ac:dyDescent="0.3">
      <c r="A2" s="8"/>
      <c r="B2" s="696" t="s">
        <v>66</v>
      </c>
      <c r="C2" s="696"/>
      <c r="D2" s="697"/>
      <c r="E2" s="696" t="s">
        <v>67</v>
      </c>
      <c r="F2" s="696"/>
      <c r="G2" s="697"/>
      <c r="H2" s="696" t="s">
        <v>107</v>
      </c>
      <c r="I2" s="696"/>
      <c r="J2" s="697"/>
      <c r="K2" s="696" t="s">
        <v>367</v>
      </c>
      <c r="L2" s="696"/>
      <c r="M2" s="697"/>
      <c r="N2" s="696"/>
      <c r="O2" s="696"/>
      <c r="P2" s="697"/>
      <c r="Q2" s="696" t="s">
        <v>68</v>
      </c>
      <c r="R2" s="696"/>
      <c r="S2" s="697"/>
      <c r="T2" s="8"/>
      <c r="U2" s="8"/>
      <c r="V2" s="38"/>
    </row>
    <row r="3" spans="1:23" ht="19.350000000000001" customHeight="1" thickBot="1" x14ac:dyDescent="0.3">
      <c r="A3" s="40" t="s">
        <v>23</v>
      </c>
      <c r="B3" s="41" t="s">
        <v>237</v>
      </c>
      <c r="C3" s="41" t="s">
        <v>176</v>
      </c>
      <c r="D3" s="42" t="s">
        <v>24</v>
      </c>
      <c r="E3" s="41" t="s">
        <v>237</v>
      </c>
      <c r="F3" s="41" t="s">
        <v>176</v>
      </c>
      <c r="G3" s="42" t="s">
        <v>24</v>
      </c>
      <c r="H3" s="41" t="s">
        <v>237</v>
      </c>
      <c r="I3" s="41" t="s">
        <v>176</v>
      </c>
      <c r="J3" s="42" t="s">
        <v>24</v>
      </c>
      <c r="K3" s="41" t="s">
        <v>237</v>
      </c>
      <c r="L3" s="41" t="s">
        <v>176</v>
      </c>
      <c r="M3" s="42" t="s">
        <v>24</v>
      </c>
      <c r="N3" s="41" t="s">
        <v>237</v>
      </c>
      <c r="O3" s="41" t="s">
        <v>176</v>
      </c>
      <c r="P3" s="42" t="s">
        <v>24</v>
      </c>
      <c r="Q3" s="41" t="s">
        <v>237</v>
      </c>
      <c r="R3" s="41" t="s">
        <v>176</v>
      </c>
      <c r="S3" s="42" t="s">
        <v>24</v>
      </c>
      <c r="T3" s="41" t="s">
        <v>237</v>
      </c>
      <c r="U3" s="41" t="s">
        <v>176</v>
      </c>
      <c r="V3" s="42" t="s">
        <v>24</v>
      </c>
    </row>
    <row r="4" spans="1:23" x14ac:dyDescent="0.25">
      <c r="A4" s="25" t="s">
        <v>25</v>
      </c>
      <c r="B4" s="26">
        <f>TCO!D26+TCO!D27</f>
        <v>0</v>
      </c>
      <c r="C4" s="26">
        <f>(TCO!D$12*(1+$W$5))+TCO!D$13</f>
        <v>0</v>
      </c>
      <c r="D4" s="34">
        <f>C4-B4</f>
        <v>0</v>
      </c>
      <c r="E4" s="27">
        <f>TCO!D22+TCO!D23</f>
        <v>0</v>
      </c>
      <c r="F4" s="26">
        <f>(TCO!D$7*(1+$W$5))+TCO!D$8</f>
        <v>0</v>
      </c>
      <c r="G4" s="34">
        <f>F4-E4</f>
        <v>0</v>
      </c>
      <c r="H4" s="26">
        <f>TCO!D24+TCO!D25</f>
        <v>0</v>
      </c>
      <c r="I4" s="26">
        <f>(TCO!D$9*(1+$W$5))+TCO!D$10</f>
        <v>0</v>
      </c>
      <c r="J4" s="34">
        <f>I4-H4</f>
        <v>0</v>
      </c>
      <c r="K4" s="27">
        <v>0</v>
      </c>
      <c r="L4" s="27">
        <f>TCO!D11</f>
        <v>0</v>
      </c>
      <c r="M4" s="34">
        <f>L4-K4</f>
        <v>0</v>
      </c>
      <c r="N4" s="27">
        <v>0</v>
      </c>
      <c r="O4" s="27">
        <f>TCO!D14</f>
        <v>1400</v>
      </c>
      <c r="P4" s="34">
        <f>O4-N4</f>
        <v>1400</v>
      </c>
      <c r="Q4" s="27">
        <f>'Parametre - Agendové IS'!D107</f>
        <v>1958890</v>
      </c>
      <c r="R4" s="27">
        <f>'Parametre - Agendové IS'!E107</f>
        <v>1958890</v>
      </c>
      <c r="S4" s="34">
        <f t="shared" ref="S4:S13" si="0">IF(ISERR(R4-Q4),"-",R4-Q4)</f>
        <v>0</v>
      </c>
      <c r="T4" s="26">
        <f>SUM(B4,E4,H4,K4,N4,Q4)</f>
        <v>1958890</v>
      </c>
      <c r="U4" s="26">
        <f>((C4+F4+L4+O4+I4)*(1+$W$4))+R4</f>
        <v>1960290</v>
      </c>
      <c r="V4" s="34">
        <f>U4-T4</f>
        <v>1400</v>
      </c>
      <c r="W4" s="217">
        <f>'Analyza citlivosti - AgendovéIS'!B7</f>
        <v>0</v>
      </c>
    </row>
    <row r="5" spans="1:23" x14ac:dyDescent="0.25">
      <c r="A5" s="25" t="s">
        <v>26</v>
      </c>
      <c r="B5" s="26">
        <f>TCO!E26+TCO!E27</f>
        <v>0</v>
      </c>
      <c r="C5" s="26">
        <f>(TCO!E$12*(1+$W$5))+TCO!E$13</f>
        <v>903308.36</v>
      </c>
      <c r="D5" s="29">
        <f t="shared" ref="D5:D13" si="1">C5-B5</f>
        <v>903308.36</v>
      </c>
      <c r="E5" s="27">
        <f>TCO!E22+TCO!E23</f>
        <v>0</v>
      </c>
      <c r="F5" s="26">
        <f>(TCO!E$7*(1+$W$5))+TCO!E$8</f>
        <v>106589.76000000001</v>
      </c>
      <c r="G5" s="29">
        <f t="shared" ref="G5:G13" si="2">F5-E5</f>
        <v>106589.76000000001</v>
      </c>
      <c r="H5" s="26">
        <f>TCO!E24+TCO!E25</f>
        <v>0</v>
      </c>
      <c r="I5" s="26">
        <f>(TCO!E$9*(1+$W$5))+TCO!E$10</f>
        <v>0</v>
      </c>
      <c r="J5" s="29">
        <f t="shared" ref="J5:J13" si="3">I5-H5</f>
        <v>0</v>
      </c>
      <c r="K5" s="27">
        <v>0</v>
      </c>
      <c r="L5" s="27">
        <f>TCO!E11</f>
        <v>0</v>
      </c>
      <c r="M5" s="29">
        <f t="shared" ref="M5:M13" si="4">L5-K5</f>
        <v>0</v>
      </c>
      <c r="N5" s="27">
        <v>0</v>
      </c>
      <c r="O5" s="27">
        <f>TCO!E14</f>
        <v>7000</v>
      </c>
      <c r="P5" s="29">
        <f t="shared" ref="P5:P13" si="5">O5-N5</f>
        <v>7000</v>
      </c>
      <c r="Q5" s="27">
        <f>'Parametre - Agendové IS'!D108</f>
        <v>2448568</v>
      </c>
      <c r="R5" s="27">
        <f>'Parametre - Agendové IS'!E108</f>
        <v>2742268</v>
      </c>
      <c r="S5" s="29">
        <f t="shared" si="0"/>
        <v>293700</v>
      </c>
      <c r="T5" s="26">
        <f t="shared" ref="T5:T13" si="6">SUM(B5,E5,H5,K5,N5,Q5)</f>
        <v>2448568</v>
      </c>
      <c r="U5" s="26">
        <f t="shared" ref="U5:U13" si="7">((C5+F5+L5+O5+I5)*(1+$W$4))+R5</f>
        <v>3759166.12</v>
      </c>
      <c r="V5" s="29">
        <f t="shared" ref="V5:V13" si="8">U5-T5</f>
        <v>1310598.1200000001</v>
      </c>
      <c r="W5" s="217">
        <f>'Analyza citlivosti - AgendovéIS'!E7</f>
        <v>0</v>
      </c>
    </row>
    <row r="6" spans="1:23" x14ac:dyDescent="0.25">
      <c r="A6" s="25" t="s">
        <v>27</v>
      </c>
      <c r="B6" s="26">
        <f>TCO!F26+TCO!F27</f>
        <v>0</v>
      </c>
      <c r="C6" s="26">
        <f>(TCO!F$12*(1+$W$5))+TCO!F$13</f>
        <v>9920</v>
      </c>
      <c r="D6" s="29">
        <f t="shared" si="1"/>
        <v>9920</v>
      </c>
      <c r="E6" s="27">
        <f>TCO!F22+TCO!F23</f>
        <v>0</v>
      </c>
      <c r="F6" s="26">
        <f>(TCO!F$7*(1+$W$5))+TCO!F$8</f>
        <v>0</v>
      </c>
      <c r="G6" s="29">
        <f t="shared" si="2"/>
        <v>0</v>
      </c>
      <c r="H6" s="26">
        <f>TCO!F24+TCO!F25</f>
        <v>0</v>
      </c>
      <c r="I6" s="26">
        <f>(TCO!F$9*(1+$W$5))+TCO!F$10</f>
        <v>0</v>
      </c>
      <c r="J6" s="29">
        <f t="shared" si="3"/>
        <v>0</v>
      </c>
      <c r="K6" s="27">
        <v>0</v>
      </c>
      <c r="L6" s="27">
        <f>TCO!F11</f>
        <v>0</v>
      </c>
      <c r="M6" s="29">
        <f t="shared" si="4"/>
        <v>0</v>
      </c>
      <c r="N6" s="27">
        <v>0</v>
      </c>
      <c r="O6" s="27">
        <f>TCO!F14</f>
        <v>7000</v>
      </c>
      <c r="P6" s="29">
        <f t="shared" si="5"/>
        <v>7000</v>
      </c>
      <c r="Q6" s="27">
        <f>'Parametre - Agendové IS'!D109</f>
        <v>2938068</v>
      </c>
      <c r="R6" s="27">
        <f>'Parametre - Agendové IS'!E109</f>
        <v>851240</v>
      </c>
      <c r="S6" s="29">
        <f t="shared" si="0"/>
        <v>-2086828</v>
      </c>
      <c r="T6" s="26">
        <f t="shared" si="6"/>
        <v>2938068</v>
      </c>
      <c r="U6" s="26">
        <f t="shared" si="7"/>
        <v>868160</v>
      </c>
      <c r="V6" s="29">
        <f t="shared" si="8"/>
        <v>-2069908</v>
      </c>
    </row>
    <row r="7" spans="1:23" x14ac:dyDescent="0.25">
      <c r="A7" s="25" t="s">
        <v>28</v>
      </c>
      <c r="B7" s="26">
        <f>TCO!G26+TCO!G27</f>
        <v>0</v>
      </c>
      <c r="C7" s="26">
        <f>(TCO!G$12*(1+$W$5))+TCO!G$13</f>
        <v>9920</v>
      </c>
      <c r="D7" s="29">
        <f t="shared" si="1"/>
        <v>9920</v>
      </c>
      <c r="E7" s="27">
        <f>TCO!G22+TCO!G23</f>
        <v>0</v>
      </c>
      <c r="F7" s="26">
        <f>(TCO!G$7*(1+$W$5))+TCO!G$8</f>
        <v>0</v>
      </c>
      <c r="G7" s="29">
        <f t="shared" si="2"/>
        <v>0</v>
      </c>
      <c r="H7" s="26">
        <f>TCO!G24+TCO!G25</f>
        <v>0</v>
      </c>
      <c r="I7" s="26">
        <f>(TCO!G$9*(1+$W$5))+TCO!G$10</f>
        <v>0</v>
      </c>
      <c r="J7" s="29">
        <f t="shared" si="3"/>
        <v>0</v>
      </c>
      <c r="K7" s="27">
        <v>0</v>
      </c>
      <c r="L7" s="27">
        <f>TCO!G11</f>
        <v>0</v>
      </c>
      <c r="M7" s="29">
        <f t="shared" si="4"/>
        <v>0</v>
      </c>
      <c r="N7" s="27">
        <v>0</v>
      </c>
      <c r="O7" s="27">
        <f>TCO!G14</f>
        <v>7000</v>
      </c>
      <c r="P7" s="29">
        <f t="shared" si="5"/>
        <v>7000</v>
      </c>
      <c r="Q7" s="27">
        <f>'Parametre - Agendové IS'!D110</f>
        <v>3427301</v>
      </c>
      <c r="R7" s="27">
        <f>'Parametre - Agendové IS'!E110</f>
        <v>1113780</v>
      </c>
      <c r="S7" s="29">
        <f t="shared" si="0"/>
        <v>-2313521</v>
      </c>
      <c r="T7" s="26">
        <f t="shared" si="6"/>
        <v>3427301</v>
      </c>
      <c r="U7" s="26">
        <f t="shared" si="7"/>
        <v>1130700</v>
      </c>
      <c r="V7" s="29">
        <f t="shared" si="8"/>
        <v>-2296601</v>
      </c>
    </row>
    <row r="8" spans="1:23" x14ac:dyDescent="0.25">
      <c r="A8" s="25" t="s">
        <v>29</v>
      </c>
      <c r="B8" s="26">
        <f>TCO!H26+TCO!H27</f>
        <v>0</v>
      </c>
      <c r="C8" s="26">
        <f>(TCO!H$12*(1+$W$5))+TCO!H$13</f>
        <v>9920</v>
      </c>
      <c r="D8" s="29">
        <f t="shared" si="1"/>
        <v>9920</v>
      </c>
      <c r="E8" s="27">
        <f>TCO!H22+TCO!H23</f>
        <v>0</v>
      </c>
      <c r="F8" s="26">
        <f>(TCO!H$7*(1+$W$5))+TCO!H$8</f>
        <v>0</v>
      </c>
      <c r="G8" s="29">
        <f t="shared" si="2"/>
        <v>0</v>
      </c>
      <c r="H8" s="26">
        <f>TCO!H24+TCO!H25</f>
        <v>0</v>
      </c>
      <c r="I8" s="26">
        <f>(TCO!H$9*(1+$W$5))+TCO!H$10</f>
        <v>0</v>
      </c>
      <c r="J8" s="29">
        <f t="shared" si="3"/>
        <v>0</v>
      </c>
      <c r="K8" s="27">
        <v>0</v>
      </c>
      <c r="L8" s="27">
        <f>TCO!H11</f>
        <v>0</v>
      </c>
      <c r="M8" s="29">
        <f t="shared" si="4"/>
        <v>0</v>
      </c>
      <c r="N8" s="27">
        <v>0</v>
      </c>
      <c r="O8" s="27">
        <f>TCO!H14</f>
        <v>7000</v>
      </c>
      <c r="P8" s="29">
        <f t="shared" si="5"/>
        <v>7000</v>
      </c>
      <c r="Q8" s="27">
        <f>'Parametre - Agendové IS'!D111</f>
        <v>3916534</v>
      </c>
      <c r="R8" s="27">
        <f>'Parametre - Agendové IS'!E111</f>
        <v>1392420</v>
      </c>
      <c r="S8" s="29">
        <f t="shared" si="0"/>
        <v>-2524114</v>
      </c>
      <c r="T8" s="26">
        <f t="shared" si="6"/>
        <v>3916534</v>
      </c>
      <c r="U8" s="26">
        <f t="shared" si="7"/>
        <v>1409340</v>
      </c>
      <c r="V8" s="29">
        <f t="shared" si="8"/>
        <v>-2507194</v>
      </c>
    </row>
    <row r="9" spans="1:23" x14ac:dyDescent="0.25">
      <c r="A9" s="25" t="s">
        <v>30</v>
      </c>
      <c r="B9" s="26">
        <f>TCO!I26+TCO!I27</f>
        <v>0</v>
      </c>
      <c r="C9" s="26">
        <f>(TCO!I$12*(1+$W$5))+TCO!I$13</f>
        <v>9920</v>
      </c>
      <c r="D9" s="29">
        <f t="shared" si="1"/>
        <v>9920</v>
      </c>
      <c r="E9" s="27">
        <f>TCO!I22+TCO!I23</f>
        <v>0</v>
      </c>
      <c r="F9" s="26">
        <f>(TCO!I$7*(1+$W$5))+TCO!I$8</f>
        <v>0</v>
      </c>
      <c r="G9" s="29">
        <f t="shared" si="2"/>
        <v>0</v>
      </c>
      <c r="H9" s="26">
        <f>TCO!I24+TCO!I25</f>
        <v>0</v>
      </c>
      <c r="I9" s="26">
        <f>(TCO!I$9*(1+$W$5))+TCO!I$10</f>
        <v>0</v>
      </c>
      <c r="J9" s="29">
        <f t="shared" si="3"/>
        <v>0</v>
      </c>
      <c r="K9" s="27">
        <v>0</v>
      </c>
      <c r="L9" s="27">
        <f>TCO!I11</f>
        <v>0</v>
      </c>
      <c r="M9" s="29">
        <f t="shared" si="4"/>
        <v>0</v>
      </c>
      <c r="N9" s="27">
        <v>0</v>
      </c>
      <c r="O9" s="27">
        <f>TCO!I14</f>
        <v>7000</v>
      </c>
      <c r="P9" s="29">
        <f t="shared" si="5"/>
        <v>7000</v>
      </c>
      <c r="Q9" s="27">
        <f>'Parametre - Agendové IS'!D112</f>
        <v>4405945</v>
      </c>
      <c r="R9" s="27">
        <f>'Parametre - Agendové IS'!E112</f>
        <v>1699300</v>
      </c>
      <c r="S9" s="29">
        <f t="shared" si="0"/>
        <v>-2706645</v>
      </c>
      <c r="T9" s="26">
        <f t="shared" si="6"/>
        <v>4405945</v>
      </c>
      <c r="U9" s="26">
        <f t="shared" si="7"/>
        <v>1716220</v>
      </c>
      <c r="V9" s="29">
        <f t="shared" si="8"/>
        <v>-2689725</v>
      </c>
    </row>
    <row r="10" spans="1:23" x14ac:dyDescent="0.25">
      <c r="A10" s="25" t="s">
        <v>31</v>
      </c>
      <c r="B10" s="26">
        <f>TCO!J26+TCO!J27</f>
        <v>0</v>
      </c>
      <c r="C10" s="26">
        <f>(TCO!J$12*(1+$W$5))+TCO!J$13</f>
        <v>9920</v>
      </c>
      <c r="D10" s="29">
        <f t="shared" si="1"/>
        <v>9920</v>
      </c>
      <c r="E10" s="27">
        <f>TCO!J22+TCO!J23</f>
        <v>0</v>
      </c>
      <c r="F10" s="26">
        <f>(TCO!J$7*(1+$W$5))+TCO!J$8</f>
        <v>0</v>
      </c>
      <c r="G10" s="29">
        <f t="shared" si="2"/>
        <v>0</v>
      </c>
      <c r="H10" s="26">
        <f>TCO!J24+TCO!J25</f>
        <v>0</v>
      </c>
      <c r="I10" s="26">
        <f>(TCO!J$9*(1+$W$5))+TCO!J$10</f>
        <v>0</v>
      </c>
      <c r="J10" s="29">
        <f t="shared" si="3"/>
        <v>0</v>
      </c>
      <c r="K10" s="27">
        <v>0</v>
      </c>
      <c r="L10" s="27">
        <f>TCO!J11</f>
        <v>0</v>
      </c>
      <c r="M10" s="29">
        <f t="shared" si="4"/>
        <v>0</v>
      </c>
      <c r="N10" s="27">
        <v>0</v>
      </c>
      <c r="O10" s="27">
        <f>TCO!J14</f>
        <v>7000</v>
      </c>
      <c r="P10" s="29">
        <f t="shared" si="5"/>
        <v>7000</v>
      </c>
      <c r="Q10" s="27">
        <f>'Parametre - Agendové IS'!D113</f>
        <v>4895356</v>
      </c>
      <c r="R10" s="27">
        <f>'Parametre - Agendové IS'!E113</f>
        <v>2011180</v>
      </c>
      <c r="S10" s="29">
        <f t="shared" si="0"/>
        <v>-2884176</v>
      </c>
      <c r="T10" s="26">
        <f t="shared" si="6"/>
        <v>4895356</v>
      </c>
      <c r="U10" s="26">
        <f t="shared" si="7"/>
        <v>2028100</v>
      </c>
      <c r="V10" s="29">
        <f t="shared" si="8"/>
        <v>-2867256</v>
      </c>
    </row>
    <row r="11" spans="1:23" x14ac:dyDescent="0.25">
      <c r="A11" s="25" t="s">
        <v>32</v>
      </c>
      <c r="B11" s="26">
        <f>TCO!K26+TCO!K27</f>
        <v>0</v>
      </c>
      <c r="C11" s="26">
        <f>(TCO!K$12*(1+$W$5))+TCO!K$13</f>
        <v>0</v>
      </c>
      <c r="D11" s="29">
        <f t="shared" si="1"/>
        <v>0</v>
      </c>
      <c r="E11" s="27">
        <f>TCO!K22+TCO!K23</f>
        <v>0</v>
      </c>
      <c r="F11" s="26">
        <f>(TCO!K$7*(1+$W$5))+TCO!K$8</f>
        <v>0</v>
      </c>
      <c r="G11" s="29">
        <f t="shared" si="2"/>
        <v>0</v>
      </c>
      <c r="H11" s="26">
        <f>TCO!K24+TCO!K25</f>
        <v>0</v>
      </c>
      <c r="I11" s="26">
        <f>(TCO!K$9*(1+$W$5))+TCO!K$10</f>
        <v>0</v>
      </c>
      <c r="J11" s="29">
        <f t="shared" si="3"/>
        <v>0</v>
      </c>
      <c r="K11" s="27">
        <v>0</v>
      </c>
      <c r="L11" s="27">
        <f>TCO!K11</f>
        <v>0</v>
      </c>
      <c r="M11" s="29">
        <f t="shared" si="4"/>
        <v>0</v>
      </c>
      <c r="N11" s="27">
        <v>0</v>
      </c>
      <c r="O11" s="27">
        <f>TCO!K14</f>
        <v>0</v>
      </c>
      <c r="P11" s="29">
        <f t="shared" si="5"/>
        <v>0</v>
      </c>
      <c r="Q11" s="27">
        <f>'Parametre - Agendové IS'!D114</f>
        <v>5189056</v>
      </c>
      <c r="R11" s="27">
        <f>'Parametre - Agendové IS'!E114</f>
        <v>2304080</v>
      </c>
      <c r="S11" s="29">
        <f t="shared" si="0"/>
        <v>-2884976</v>
      </c>
      <c r="T11" s="26">
        <f t="shared" si="6"/>
        <v>5189056</v>
      </c>
      <c r="U11" s="26">
        <f t="shared" si="7"/>
        <v>2304080</v>
      </c>
      <c r="V11" s="29">
        <f t="shared" si="8"/>
        <v>-2884976</v>
      </c>
    </row>
    <row r="12" spans="1:23" x14ac:dyDescent="0.25">
      <c r="A12" s="25" t="s">
        <v>33</v>
      </c>
      <c r="B12" s="26">
        <f>TCO!L26+TCO!L27</f>
        <v>0</v>
      </c>
      <c r="C12" s="26">
        <f>(TCO!L$12*(1+$W$5))+TCO!L$13</f>
        <v>0</v>
      </c>
      <c r="D12" s="29">
        <f t="shared" si="1"/>
        <v>0</v>
      </c>
      <c r="E12" s="27">
        <f>TCO!L22+TCO!L23</f>
        <v>0</v>
      </c>
      <c r="F12" s="26">
        <f>(TCO!L$7*(1+$W$5))+TCO!L$8</f>
        <v>0</v>
      </c>
      <c r="G12" s="29">
        <f t="shared" si="2"/>
        <v>0</v>
      </c>
      <c r="H12" s="26">
        <f>TCO!L24+TCO!L25</f>
        <v>0</v>
      </c>
      <c r="I12" s="26">
        <f>(TCO!L$9*(1+$W$5))+TCO!L$10</f>
        <v>0</v>
      </c>
      <c r="J12" s="29">
        <f t="shared" si="3"/>
        <v>0</v>
      </c>
      <c r="K12" s="27">
        <v>0</v>
      </c>
      <c r="L12" s="27">
        <f>TCO!L11</f>
        <v>0</v>
      </c>
      <c r="M12" s="29">
        <f t="shared" si="4"/>
        <v>0</v>
      </c>
      <c r="N12" s="27">
        <v>0</v>
      </c>
      <c r="O12" s="27">
        <f>TCO!L14</f>
        <v>0</v>
      </c>
      <c r="P12" s="29">
        <f t="shared" si="5"/>
        <v>0</v>
      </c>
      <c r="Q12" s="27">
        <f>'Parametre - Agendové IS'!D115</f>
        <v>5482756</v>
      </c>
      <c r="R12" s="27">
        <f>'Parametre - Agendové IS'!E115</f>
        <v>2675080</v>
      </c>
      <c r="S12" s="29">
        <f t="shared" si="0"/>
        <v>-2807676</v>
      </c>
      <c r="T12" s="26">
        <f t="shared" si="6"/>
        <v>5482756</v>
      </c>
      <c r="U12" s="26">
        <f t="shared" si="7"/>
        <v>2675080</v>
      </c>
      <c r="V12" s="29">
        <f t="shared" si="8"/>
        <v>-2807676</v>
      </c>
    </row>
    <row r="13" spans="1:23" ht="15.75" thickBot="1" x14ac:dyDescent="0.3">
      <c r="A13" s="39" t="s">
        <v>34</v>
      </c>
      <c r="B13" s="43">
        <f>TCO!M26+TCO!M27</f>
        <v>0</v>
      </c>
      <c r="C13" s="43">
        <f>(TCO!M$12*(1+$W$5))+TCO!M$13</f>
        <v>0</v>
      </c>
      <c r="D13" s="173">
        <f t="shared" si="1"/>
        <v>0</v>
      </c>
      <c r="E13" s="47">
        <f>TCO!M22+TCO!M23</f>
        <v>0</v>
      </c>
      <c r="F13" s="43">
        <f>(TCO!M$7*(1+$W$5))+TCO!M$8</f>
        <v>0</v>
      </c>
      <c r="G13" s="173">
        <f t="shared" si="2"/>
        <v>0</v>
      </c>
      <c r="H13" s="43">
        <f>TCO!M24+TCO!M25</f>
        <v>0</v>
      </c>
      <c r="I13" s="43">
        <f>(TCO!M$9*(1+$W$5))+TCO!M$10</f>
        <v>0</v>
      </c>
      <c r="J13" s="173">
        <f t="shared" si="3"/>
        <v>0</v>
      </c>
      <c r="K13" s="47">
        <v>0</v>
      </c>
      <c r="L13" s="47">
        <f>TCO!M11</f>
        <v>0</v>
      </c>
      <c r="M13" s="173">
        <f t="shared" si="4"/>
        <v>0</v>
      </c>
      <c r="N13" s="47">
        <v>0</v>
      </c>
      <c r="O13" s="47">
        <f>TCO!M14</f>
        <v>0</v>
      </c>
      <c r="P13" s="173">
        <f t="shared" si="5"/>
        <v>0</v>
      </c>
      <c r="Q13" s="47">
        <f>'Parametre - Agendové IS'!D116</f>
        <v>5678556</v>
      </c>
      <c r="R13" s="47">
        <f>'Parametre - Agendové IS'!E116</f>
        <v>2522080</v>
      </c>
      <c r="S13" s="173">
        <f t="shared" si="0"/>
        <v>-3156476</v>
      </c>
      <c r="T13" s="26">
        <f t="shared" si="6"/>
        <v>5678556</v>
      </c>
      <c r="U13" s="26">
        <f t="shared" si="7"/>
        <v>2522080</v>
      </c>
      <c r="V13" s="173">
        <f t="shared" si="8"/>
        <v>-3156476</v>
      </c>
    </row>
    <row r="14" spans="1:23" x14ac:dyDescent="0.25">
      <c r="A14" s="612" t="s">
        <v>105</v>
      </c>
      <c r="B14" s="603">
        <f>SUM(B4:B13)</f>
        <v>0</v>
      </c>
      <c r="C14" s="601">
        <f t="shared" ref="C14:S14" si="9">SUM(C4:C13)</f>
        <v>952908.36</v>
      </c>
      <c r="D14" s="600">
        <f t="shared" si="9"/>
        <v>952908.36</v>
      </c>
      <c r="E14" s="603">
        <f t="shared" si="9"/>
        <v>0</v>
      </c>
      <c r="F14" s="601">
        <f t="shared" si="9"/>
        <v>106589.76000000001</v>
      </c>
      <c r="G14" s="600">
        <f t="shared" si="9"/>
        <v>106589.76000000001</v>
      </c>
      <c r="H14" s="603">
        <f t="shared" si="9"/>
        <v>0</v>
      </c>
      <c r="I14" s="601">
        <f t="shared" si="9"/>
        <v>0</v>
      </c>
      <c r="J14" s="600">
        <f t="shared" si="9"/>
        <v>0</v>
      </c>
      <c r="K14" s="603">
        <f t="shared" ref="K14:P14" si="10">SUM(K4:K13)</f>
        <v>0</v>
      </c>
      <c r="L14" s="601">
        <f t="shared" si="10"/>
        <v>0</v>
      </c>
      <c r="M14" s="600">
        <f t="shared" si="10"/>
        <v>0</v>
      </c>
      <c r="N14" s="603">
        <f t="shared" si="10"/>
        <v>0</v>
      </c>
      <c r="O14" s="601">
        <f t="shared" si="10"/>
        <v>43400</v>
      </c>
      <c r="P14" s="600">
        <f t="shared" si="10"/>
        <v>43400</v>
      </c>
      <c r="Q14" s="603">
        <f t="shared" si="9"/>
        <v>40341030</v>
      </c>
      <c r="R14" s="601">
        <f t="shared" si="9"/>
        <v>19270318</v>
      </c>
      <c r="S14" s="600">
        <f t="shared" si="9"/>
        <v>-21070712</v>
      </c>
      <c r="T14" s="613">
        <f>SUM(T4:T13)</f>
        <v>40341030</v>
      </c>
      <c r="U14" s="614">
        <f>SUM(U4:U13)</f>
        <v>20373216.120000001</v>
      </c>
      <c r="V14" s="615">
        <f>SUM(V4:V13)</f>
        <v>-19967813.879999999</v>
      </c>
    </row>
    <row r="15" spans="1:23" ht="15.75" thickBot="1" x14ac:dyDescent="0.3">
      <c r="A15" s="612" t="s">
        <v>162</v>
      </c>
      <c r="B15" s="611"/>
      <c r="C15" s="609"/>
      <c r="D15" s="607">
        <f>D4+NPV(Faktory!$D$5,D5:D13)</f>
        <v>901196.92245015025</v>
      </c>
      <c r="E15" s="611"/>
      <c r="F15" s="609"/>
      <c r="G15" s="607">
        <f>G4+NPV(Faktory!$D$5,G5:G13)</f>
        <v>101514.05714285714</v>
      </c>
      <c r="H15" s="611"/>
      <c r="I15" s="609"/>
      <c r="J15" s="607">
        <f>J4+NPV(Faktory!$D$5,J5:J13)</f>
        <v>0</v>
      </c>
      <c r="K15" s="611"/>
      <c r="L15" s="609"/>
      <c r="M15" s="607">
        <f>M4+NPV(Faktory!$D$5,M5:M13)</f>
        <v>0</v>
      </c>
      <c r="N15" s="611"/>
      <c r="O15" s="609"/>
      <c r="P15" s="607">
        <f>P4+NPV(Faktory!$D$5,P5:P13)</f>
        <v>36929.844470872122</v>
      </c>
      <c r="Q15" s="611"/>
      <c r="R15" s="609"/>
      <c r="S15" s="607">
        <f>S4+NPV(Faktory!$D$5,S5:S13)</f>
        <v>-15946481.991781428</v>
      </c>
      <c r="T15" s="616"/>
      <c r="U15" s="617"/>
      <c r="V15" s="618">
        <f>V4+NPV(Faktory!$D$5,V5:V13)</f>
        <v>-14906841.167717546</v>
      </c>
    </row>
    <row r="16" spans="1:23" x14ac:dyDescent="0.25">
      <c r="A16" s="137"/>
      <c r="B16" s="137"/>
      <c r="C16" s="137"/>
      <c r="D16" s="153"/>
      <c r="E16" s="137"/>
      <c r="F16" s="137"/>
      <c r="G16" s="153"/>
      <c r="H16" s="137"/>
      <c r="I16" s="137"/>
      <c r="J16" s="153"/>
      <c r="K16" s="153"/>
      <c r="L16" s="153"/>
      <c r="M16" s="153"/>
      <c r="N16" s="153"/>
      <c r="O16" s="153"/>
      <c r="P16" s="153"/>
      <c r="Q16" s="137"/>
      <c r="R16" s="137"/>
      <c r="S16" s="153"/>
      <c r="T16" s="174"/>
      <c r="U16" s="174"/>
      <c r="V16" s="174"/>
    </row>
    <row r="17" spans="1:2" x14ac:dyDescent="0.25">
      <c r="A17" s="106"/>
      <c r="B17" s="107" t="s">
        <v>180</v>
      </c>
    </row>
    <row r="22" spans="1:2" x14ac:dyDescent="0.25">
      <c r="B22" s="175"/>
    </row>
  </sheetData>
  <mergeCells count="10">
    <mergeCell ref="Q1:S1"/>
    <mergeCell ref="T1:V1"/>
    <mergeCell ref="B2:D2"/>
    <mergeCell ref="E2:G2"/>
    <mergeCell ref="H2:J2"/>
    <mergeCell ref="Q2:S2"/>
    <mergeCell ref="N1:P1"/>
    <mergeCell ref="N2:P2"/>
    <mergeCell ref="K2:M2"/>
    <mergeCell ref="B1:M1"/>
  </mergeCells>
  <pageMargins left="0.7" right="0.7" top="0.75" bottom="0.75" header="0.3" footer="0.3"/>
  <pageSetup paperSize="9" scale="2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CC"/>
  </sheetPr>
  <dimension ref="A1:S136"/>
  <sheetViews>
    <sheetView view="pageBreakPreview" zoomScale="60" zoomScaleNormal="80" workbookViewId="0">
      <selection activeCell="D5" sqref="D5"/>
    </sheetView>
  </sheetViews>
  <sheetFormatPr defaultColWidth="9.140625" defaultRowHeight="15" x14ac:dyDescent="0.25"/>
  <cols>
    <col min="1" max="1" width="19.140625" style="411" customWidth="1"/>
    <col min="2" max="2" width="9.85546875" style="411" bestFit="1" customWidth="1"/>
    <col min="3" max="3" width="8.85546875" style="411" bestFit="1" customWidth="1"/>
    <col min="4" max="4" width="14.42578125" style="411" bestFit="1" customWidth="1"/>
    <col min="5" max="5" width="15.7109375" style="411" bestFit="1" customWidth="1"/>
    <col min="6" max="6" width="14.42578125" style="411" bestFit="1" customWidth="1"/>
    <col min="7" max="7" width="14.42578125" style="457" bestFit="1" customWidth="1"/>
    <col min="8" max="8" width="14.7109375" style="514" customWidth="1"/>
    <col min="9" max="9" width="14.42578125" style="457" bestFit="1" customWidth="1"/>
    <col min="10" max="10" width="12.85546875" style="411" bestFit="1" customWidth="1"/>
    <col min="11" max="11" width="14.42578125" style="411" bestFit="1" customWidth="1"/>
    <col min="12" max="12" width="12.85546875" style="411" bestFit="1" customWidth="1"/>
    <col min="13" max="13" width="10.28515625" style="515" customWidth="1"/>
    <col min="14" max="14" width="14.42578125" style="514" bestFit="1" customWidth="1"/>
    <col min="15" max="15" width="14.42578125" style="457" bestFit="1" customWidth="1"/>
    <col min="16" max="16" width="10.28515625" style="515" customWidth="1"/>
    <col min="17" max="17" width="10.28515625" style="514" customWidth="1"/>
    <col min="18" max="18" width="10.28515625" style="457" customWidth="1"/>
    <col min="19" max="19" width="14.7109375" style="492" customWidth="1"/>
    <col min="20" max="22" width="9.140625" style="411"/>
    <col min="23" max="23" width="12.42578125" style="411" bestFit="1" customWidth="1"/>
    <col min="24" max="258" width="9.140625" style="411"/>
    <col min="259" max="259" width="1.7109375" style="411" customWidth="1"/>
    <col min="260" max="260" width="19.140625" style="411" customWidth="1"/>
    <col min="261" max="261" width="35.140625" style="411" customWidth="1"/>
    <col min="262" max="262" width="9.85546875" style="411" bestFit="1" customWidth="1"/>
    <col min="263" max="263" width="8.85546875" style="411" bestFit="1" customWidth="1"/>
    <col min="264" max="274" width="10.28515625" style="411" customWidth="1"/>
    <col min="275" max="514" width="9.140625" style="411"/>
    <col min="515" max="515" width="1.7109375" style="411" customWidth="1"/>
    <col min="516" max="516" width="19.140625" style="411" customWidth="1"/>
    <col min="517" max="517" width="35.140625" style="411" customWidth="1"/>
    <col min="518" max="518" width="9.85546875" style="411" bestFit="1" customWidth="1"/>
    <col min="519" max="519" width="8.85546875" style="411" bestFit="1" customWidth="1"/>
    <col min="520" max="530" width="10.28515625" style="411" customWidth="1"/>
    <col min="531" max="770" width="9.140625" style="411"/>
    <col min="771" max="771" width="1.7109375" style="411" customWidth="1"/>
    <col min="772" max="772" width="19.140625" style="411" customWidth="1"/>
    <col min="773" max="773" width="35.140625" style="411" customWidth="1"/>
    <col min="774" max="774" width="9.85546875" style="411" bestFit="1" customWidth="1"/>
    <col min="775" max="775" width="8.85546875" style="411" bestFit="1" customWidth="1"/>
    <col min="776" max="786" width="10.28515625" style="411" customWidth="1"/>
    <col min="787" max="1026" width="9.140625" style="411"/>
    <col min="1027" max="1027" width="1.7109375" style="411" customWidth="1"/>
    <col min="1028" max="1028" width="19.140625" style="411" customWidth="1"/>
    <col min="1029" max="1029" width="35.140625" style="411" customWidth="1"/>
    <col min="1030" max="1030" width="9.85546875" style="411" bestFit="1" customWidth="1"/>
    <col min="1031" max="1031" width="8.85546875" style="411" bestFit="1" customWidth="1"/>
    <col min="1032" max="1042" width="10.28515625" style="411" customWidth="1"/>
    <col min="1043" max="1282" width="9.140625" style="411"/>
    <col min="1283" max="1283" width="1.7109375" style="411" customWidth="1"/>
    <col min="1284" max="1284" width="19.140625" style="411" customWidth="1"/>
    <col min="1285" max="1285" width="35.140625" style="411" customWidth="1"/>
    <col min="1286" max="1286" width="9.85546875" style="411" bestFit="1" customWidth="1"/>
    <col min="1287" max="1287" width="8.85546875" style="411" bestFit="1" customWidth="1"/>
    <col min="1288" max="1298" width="10.28515625" style="411" customWidth="1"/>
    <col min="1299" max="1538" width="9.140625" style="411"/>
    <col min="1539" max="1539" width="1.7109375" style="411" customWidth="1"/>
    <col min="1540" max="1540" width="19.140625" style="411" customWidth="1"/>
    <col min="1541" max="1541" width="35.140625" style="411" customWidth="1"/>
    <col min="1542" max="1542" width="9.85546875" style="411" bestFit="1" customWidth="1"/>
    <col min="1543" max="1543" width="8.85546875" style="411" bestFit="1" customWidth="1"/>
    <col min="1544" max="1554" width="10.28515625" style="411" customWidth="1"/>
    <col min="1555" max="1794" width="9.140625" style="411"/>
    <col min="1795" max="1795" width="1.7109375" style="411" customWidth="1"/>
    <col min="1796" max="1796" width="19.140625" style="411" customWidth="1"/>
    <col min="1797" max="1797" width="35.140625" style="411" customWidth="1"/>
    <col min="1798" max="1798" width="9.85546875" style="411" bestFit="1" customWidth="1"/>
    <col min="1799" max="1799" width="8.85546875" style="411" bestFit="1" customWidth="1"/>
    <col min="1800" max="1810" width="10.28515625" style="411" customWidth="1"/>
    <col min="1811" max="2050" width="9.140625" style="411"/>
    <col min="2051" max="2051" width="1.7109375" style="411" customWidth="1"/>
    <col min="2052" max="2052" width="19.140625" style="411" customWidth="1"/>
    <col min="2053" max="2053" width="35.140625" style="411" customWidth="1"/>
    <col min="2054" max="2054" width="9.85546875" style="411" bestFit="1" customWidth="1"/>
    <col min="2055" max="2055" width="8.85546875" style="411" bestFit="1" customWidth="1"/>
    <col min="2056" max="2066" width="10.28515625" style="411" customWidth="1"/>
    <col min="2067" max="2306" width="9.140625" style="411"/>
    <col min="2307" max="2307" width="1.7109375" style="411" customWidth="1"/>
    <col min="2308" max="2308" width="19.140625" style="411" customWidth="1"/>
    <col min="2309" max="2309" width="35.140625" style="411" customWidth="1"/>
    <col min="2310" max="2310" width="9.85546875" style="411" bestFit="1" customWidth="1"/>
    <col min="2311" max="2311" width="8.85546875" style="411" bestFit="1" customWidth="1"/>
    <col min="2312" max="2322" width="10.28515625" style="411" customWidth="1"/>
    <col min="2323" max="2562" width="9.140625" style="411"/>
    <col min="2563" max="2563" width="1.7109375" style="411" customWidth="1"/>
    <col min="2564" max="2564" width="19.140625" style="411" customWidth="1"/>
    <col min="2565" max="2565" width="35.140625" style="411" customWidth="1"/>
    <col min="2566" max="2566" width="9.85546875" style="411" bestFit="1" customWidth="1"/>
    <col min="2567" max="2567" width="8.85546875" style="411" bestFit="1" customWidth="1"/>
    <col min="2568" max="2578" width="10.28515625" style="411" customWidth="1"/>
    <col min="2579" max="2818" width="9.140625" style="411"/>
    <col min="2819" max="2819" width="1.7109375" style="411" customWidth="1"/>
    <col min="2820" max="2820" width="19.140625" style="411" customWidth="1"/>
    <col min="2821" max="2821" width="35.140625" style="411" customWidth="1"/>
    <col min="2822" max="2822" width="9.85546875" style="411" bestFit="1" customWidth="1"/>
    <col min="2823" max="2823" width="8.85546875" style="411" bestFit="1" customWidth="1"/>
    <col min="2824" max="2834" width="10.28515625" style="411" customWidth="1"/>
    <col min="2835" max="3074" width="9.140625" style="411"/>
    <col min="3075" max="3075" width="1.7109375" style="411" customWidth="1"/>
    <col min="3076" max="3076" width="19.140625" style="411" customWidth="1"/>
    <col min="3077" max="3077" width="35.140625" style="411" customWidth="1"/>
    <col min="3078" max="3078" width="9.85546875" style="411" bestFit="1" customWidth="1"/>
    <col min="3079" max="3079" width="8.85546875" style="411" bestFit="1" customWidth="1"/>
    <col min="3080" max="3090" width="10.28515625" style="411" customWidth="1"/>
    <col min="3091" max="3330" width="9.140625" style="411"/>
    <col min="3331" max="3331" width="1.7109375" style="411" customWidth="1"/>
    <col min="3332" max="3332" width="19.140625" style="411" customWidth="1"/>
    <col min="3333" max="3333" width="35.140625" style="411" customWidth="1"/>
    <col min="3334" max="3334" width="9.85546875" style="411" bestFit="1" customWidth="1"/>
    <col min="3335" max="3335" width="8.85546875" style="411" bestFit="1" customWidth="1"/>
    <col min="3336" max="3346" width="10.28515625" style="411" customWidth="1"/>
    <col min="3347" max="3586" width="9.140625" style="411"/>
    <col min="3587" max="3587" width="1.7109375" style="411" customWidth="1"/>
    <col min="3588" max="3588" width="19.140625" style="411" customWidth="1"/>
    <col min="3589" max="3589" width="35.140625" style="411" customWidth="1"/>
    <col min="3590" max="3590" width="9.85546875" style="411" bestFit="1" customWidth="1"/>
    <col min="3591" max="3591" width="8.85546875" style="411" bestFit="1" customWidth="1"/>
    <col min="3592" max="3602" width="10.28515625" style="411" customWidth="1"/>
    <col min="3603" max="3842" width="9.140625" style="411"/>
    <col min="3843" max="3843" width="1.7109375" style="411" customWidth="1"/>
    <col min="3844" max="3844" width="19.140625" style="411" customWidth="1"/>
    <col min="3845" max="3845" width="35.140625" style="411" customWidth="1"/>
    <col min="3846" max="3846" width="9.85546875" style="411" bestFit="1" customWidth="1"/>
    <col min="3847" max="3847" width="8.85546875" style="411" bestFit="1" customWidth="1"/>
    <col min="3848" max="3858" width="10.28515625" style="411" customWidth="1"/>
    <col min="3859" max="4098" width="9.140625" style="411"/>
    <col min="4099" max="4099" width="1.7109375" style="411" customWidth="1"/>
    <col min="4100" max="4100" width="19.140625" style="411" customWidth="1"/>
    <col min="4101" max="4101" width="35.140625" style="411" customWidth="1"/>
    <col min="4102" max="4102" width="9.85546875" style="411" bestFit="1" customWidth="1"/>
    <col min="4103" max="4103" width="8.85546875" style="411" bestFit="1" customWidth="1"/>
    <col min="4104" max="4114" width="10.28515625" style="411" customWidth="1"/>
    <col min="4115" max="4354" width="9.140625" style="411"/>
    <col min="4355" max="4355" width="1.7109375" style="411" customWidth="1"/>
    <col min="4356" max="4356" width="19.140625" style="411" customWidth="1"/>
    <col min="4357" max="4357" width="35.140625" style="411" customWidth="1"/>
    <col min="4358" max="4358" width="9.85546875" style="411" bestFit="1" customWidth="1"/>
    <col min="4359" max="4359" width="8.85546875" style="411" bestFit="1" customWidth="1"/>
    <col min="4360" max="4370" width="10.28515625" style="411" customWidth="1"/>
    <col min="4371" max="4610" width="9.140625" style="411"/>
    <col min="4611" max="4611" width="1.7109375" style="411" customWidth="1"/>
    <col min="4612" max="4612" width="19.140625" style="411" customWidth="1"/>
    <col min="4613" max="4613" width="35.140625" style="411" customWidth="1"/>
    <col min="4614" max="4614" width="9.85546875" style="411" bestFit="1" customWidth="1"/>
    <col min="4615" max="4615" width="8.85546875" style="411" bestFit="1" customWidth="1"/>
    <col min="4616" max="4626" width="10.28515625" style="411" customWidth="1"/>
    <col min="4627" max="4866" width="9.140625" style="411"/>
    <col min="4867" max="4867" width="1.7109375" style="411" customWidth="1"/>
    <col min="4868" max="4868" width="19.140625" style="411" customWidth="1"/>
    <col min="4869" max="4869" width="35.140625" style="411" customWidth="1"/>
    <col min="4870" max="4870" width="9.85546875" style="411" bestFit="1" customWidth="1"/>
    <col min="4871" max="4871" width="8.85546875" style="411" bestFit="1" customWidth="1"/>
    <col min="4872" max="4882" width="10.28515625" style="411" customWidth="1"/>
    <col min="4883" max="5122" width="9.140625" style="411"/>
    <col min="5123" max="5123" width="1.7109375" style="411" customWidth="1"/>
    <col min="5124" max="5124" width="19.140625" style="411" customWidth="1"/>
    <col min="5125" max="5125" width="35.140625" style="411" customWidth="1"/>
    <col min="5126" max="5126" width="9.85546875" style="411" bestFit="1" customWidth="1"/>
    <col min="5127" max="5127" width="8.85546875" style="411" bestFit="1" customWidth="1"/>
    <col min="5128" max="5138" width="10.28515625" style="411" customWidth="1"/>
    <col min="5139" max="5378" width="9.140625" style="411"/>
    <col min="5379" max="5379" width="1.7109375" style="411" customWidth="1"/>
    <col min="5380" max="5380" width="19.140625" style="411" customWidth="1"/>
    <col min="5381" max="5381" width="35.140625" style="411" customWidth="1"/>
    <col min="5382" max="5382" width="9.85546875" style="411" bestFit="1" customWidth="1"/>
    <col min="5383" max="5383" width="8.85546875" style="411" bestFit="1" customWidth="1"/>
    <col min="5384" max="5394" width="10.28515625" style="411" customWidth="1"/>
    <col min="5395" max="5634" width="9.140625" style="411"/>
    <col min="5635" max="5635" width="1.7109375" style="411" customWidth="1"/>
    <col min="5636" max="5636" width="19.140625" style="411" customWidth="1"/>
    <col min="5637" max="5637" width="35.140625" style="411" customWidth="1"/>
    <col min="5638" max="5638" width="9.85546875" style="411" bestFit="1" customWidth="1"/>
    <col min="5639" max="5639" width="8.85546875" style="411" bestFit="1" customWidth="1"/>
    <col min="5640" max="5650" width="10.28515625" style="411" customWidth="1"/>
    <col min="5651" max="5890" width="9.140625" style="411"/>
    <col min="5891" max="5891" width="1.7109375" style="411" customWidth="1"/>
    <col min="5892" max="5892" width="19.140625" style="411" customWidth="1"/>
    <col min="5893" max="5893" width="35.140625" style="411" customWidth="1"/>
    <col min="5894" max="5894" width="9.85546875" style="411" bestFit="1" customWidth="1"/>
    <col min="5895" max="5895" width="8.85546875" style="411" bestFit="1" customWidth="1"/>
    <col min="5896" max="5906" width="10.28515625" style="411" customWidth="1"/>
    <col min="5907" max="6146" width="9.140625" style="411"/>
    <col min="6147" max="6147" width="1.7109375" style="411" customWidth="1"/>
    <col min="6148" max="6148" width="19.140625" style="411" customWidth="1"/>
    <col min="6149" max="6149" width="35.140625" style="411" customWidth="1"/>
    <col min="6150" max="6150" width="9.85546875" style="411" bestFit="1" customWidth="1"/>
    <col min="6151" max="6151" width="8.85546875" style="411" bestFit="1" customWidth="1"/>
    <col min="6152" max="6162" width="10.28515625" style="411" customWidth="1"/>
    <col min="6163" max="6402" width="9.140625" style="411"/>
    <col min="6403" max="6403" width="1.7109375" style="411" customWidth="1"/>
    <col min="6404" max="6404" width="19.140625" style="411" customWidth="1"/>
    <col min="6405" max="6405" width="35.140625" style="411" customWidth="1"/>
    <col min="6406" max="6406" width="9.85546875" style="411" bestFit="1" customWidth="1"/>
    <col min="6407" max="6407" width="8.85546875" style="411" bestFit="1" customWidth="1"/>
    <col min="6408" max="6418" width="10.28515625" style="411" customWidth="1"/>
    <col min="6419" max="6658" width="9.140625" style="411"/>
    <col min="6659" max="6659" width="1.7109375" style="411" customWidth="1"/>
    <col min="6660" max="6660" width="19.140625" style="411" customWidth="1"/>
    <col min="6661" max="6661" width="35.140625" style="411" customWidth="1"/>
    <col min="6662" max="6662" width="9.85546875" style="411" bestFit="1" customWidth="1"/>
    <col min="6663" max="6663" width="8.85546875" style="411" bestFit="1" customWidth="1"/>
    <col min="6664" max="6674" width="10.28515625" style="411" customWidth="1"/>
    <col min="6675" max="6914" width="9.140625" style="411"/>
    <col min="6915" max="6915" width="1.7109375" style="411" customWidth="1"/>
    <col min="6916" max="6916" width="19.140625" style="411" customWidth="1"/>
    <col min="6917" max="6917" width="35.140625" style="411" customWidth="1"/>
    <col min="6918" max="6918" width="9.85546875" style="411" bestFit="1" customWidth="1"/>
    <col min="6919" max="6919" width="8.85546875" style="411" bestFit="1" customWidth="1"/>
    <col min="6920" max="6930" width="10.28515625" style="411" customWidth="1"/>
    <col min="6931" max="7170" width="9.140625" style="411"/>
    <col min="7171" max="7171" width="1.7109375" style="411" customWidth="1"/>
    <col min="7172" max="7172" width="19.140625" style="411" customWidth="1"/>
    <col min="7173" max="7173" width="35.140625" style="411" customWidth="1"/>
    <col min="7174" max="7174" width="9.85546875" style="411" bestFit="1" customWidth="1"/>
    <col min="7175" max="7175" width="8.85546875" style="411" bestFit="1" customWidth="1"/>
    <col min="7176" max="7186" width="10.28515625" style="411" customWidth="1"/>
    <col min="7187" max="7426" width="9.140625" style="411"/>
    <col min="7427" max="7427" width="1.7109375" style="411" customWidth="1"/>
    <col min="7428" max="7428" width="19.140625" style="411" customWidth="1"/>
    <col min="7429" max="7429" width="35.140625" style="411" customWidth="1"/>
    <col min="7430" max="7430" width="9.85546875" style="411" bestFit="1" customWidth="1"/>
    <col min="7431" max="7431" width="8.85546875" style="411" bestFit="1" customWidth="1"/>
    <col min="7432" max="7442" width="10.28515625" style="411" customWidth="1"/>
    <col min="7443" max="7682" width="9.140625" style="411"/>
    <col min="7683" max="7683" width="1.7109375" style="411" customWidth="1"/>
    <col min="7684" max="7684" width="19.140625" style="411" customWidth="1"/>
    <col min="7685" max="7685" width="35.140625" style="411" customWidth="1"/>
    <col min="7686" max="7686" width="9.85546875" style="411" bestFit="1" customWidth="1"/>
    <col min="7687" max="7687" width="8.85546875" style="411" bestFit="1" customWidth="1"/>
    <col min="7688" max="7698" width="10.28515625" style="411" customWidth="1"/>
    <col min="7699" max="7938" width="9.140625" style="411"/>
    <col min="7939" max="7939" width="1.7109375" style="411" customWidth="1"/>
    <col min="7940" max="7940" width="19.140625" style="411" customWidth="1"/>
    <col min="7941" max="7941" width="35.140625" style="411" customWidth="1"/>
    <col min="7942" max="7942" width="9.85546875" style="411" bestFit="1" customWidth="1"/>
    <col min="7943" max="7943" width="8.85546875" style="411" bestFit="1" customWidth="1"/>
    <col min="7944" max="7954" width="10.28515625" style="411" customWidth="1"/>
    <col min="7955" max="8194" width="9.140625" style="411"/>
    <col min="8195" max="8195" width="1.7109375" style="411" customWidth="1"/>
    <col min="8196" max="8196" width="19.140625" style="411" customWidth="1"/>
    <col min="8197" max="8197" width="35.140625" style="411" customWidth="1"/>
    <col min="8198" max="8198" width="9.85546875" style="411" bestFit="1" customWidth="1"/>
    <col min="8199" max="8199" width="8.85546875" style="411" bestFit="1" customWidth="1"/>
    <col min="8200" max="8210" width="10.28515625" style="411" customWidth="1"/>
    <col min="8211" max="8450" width="9.140625" style="411"/>
    <col min="8451" max="8451" width="1.7109375" style="411" customWidth="1"/>
    <col min="8452" max="8452" width="19.140625" style="411" customWidth="1"/>
    <col min="8453" max="8453" width="35.140625" style="411" customWidth="1"/>
    <col min="8454" max="8454" width="9.85546875" style="411" bestFit="1" customWidth="1"/>
    <col min="8455" max="8455" width="8.85546875" style="411" bestFit="1" customWidth="1"/>
    <col min="8456" max="8466" width="10.28515625" style="411" customWidth="1"/>
    <col min="8467" max="8706" width="9.140625" style="411"/>
    <col min="8707" max="8707" width="1.7109375" style="411" customWidth="1"/>
    <col min="8708" max="8708" width="19.140625" style="411" customWidth="1"/>
    <col min="8709" max="8709" width="35.140625" style="411" customWidth="1"/>
    <col min="8710" max="8710" width="9.85546875" style="411" bestFit="1" customWidth="1"/>
    <col min="8711" max="8711" width="8.85546875" style="411" bestFit="1" customWidth="1"/>
    <col min="8712" max="8722" width="10.28515625" style="411" customWidth="1"/>
    <col min="8723" max="8962" width="9.140625" style="411"/>
    <col min="8963" max="8963" width="1.7109375" style="411" customWidth="1"/>
    <col min="8964" max="8964" width="19.140625" style="411" customWidth="1"/>
    <col min="8965" max="8965" width="35.140625" style="411" customWidth="1"/>
    <col min="8966" max="8966" width="9.85546875" style="411" bestFit="1" customWidth="1"/>
    <col min="8967" max="8967" width="8.85546875" style="411" bestFit="1" customWidth="1"/>
    <col min="8968" max="8978" width="10.28515625" style="411" customWidth="1"/>
    <col min="8979" max="9218" width="9.140625" style="411"/>
    <col min="9219" max="9219" width="1.7109375" style="411" customWidth="1"/>
    <col min="9220" max="9220" width="19.140625" style="411" customWidth="1"/>
    <col min="9221" max="9221" width="35.140625" style="411" customWidth="1"/>
    <col min="9222" max="9222" width="9.85546875" style="411" bestFit="1" customWidth="1"/>
    <col min="9223" max="9223" width="8.85546875" style="411" bestFit="1" customWidth="1"/>
    <col min="9224" max="9234" width="10.28515625" style="411" customWidth="1"/>
    <col min="9235" max="9474" width="9.140625" style="411"/>
    <col min="9475" max="9475" width="1.7109375" style="411" customWidth="1"/>
    <col min="9476" max="9476" width="19.140625" style="411" customWidth="1"/>
    <col min="9477" max="9477" width="35.140625" style="411" customWidth="1"/>
    <col min="9478" max="9478" width="9.85546875" style="411" bestFit="1" customWidth="1"/>
    <col min="9479" max="9479" width="8.85546875" style="411" bestFit="1" customWidth="1"/>
    <col min="9480" max="9490" width="10.28515625" style="411" customWidth="1"/>
    <col min="9491" max="9730" width="9.140625" style="411"/>
    <col min="9731" max="9731" width="1.7109375" style="411" customWidth="1"/>
    <col min="9732" max="9732" width="19.140625" style="411" customWidth="1"/>
    <col min="9733" max="9733" width="35.140625" style="411" customWidth="1"/>
    <col min="9734" max="9734" width="9.85546875" style="411" bestFit="1" customWidth="1"/>
    <col min="9735" max="9735" width="8.85546875" style="411" bestFit="1" customWidth="1"/>
    <col min="9736" max="9746" width="10.28515625" style="411" customWidth="1"/>
    <col min="9747" max="9986" width="9.140625" style="411"/>
    <col min="9987" max="9987" width="1.7109375" style="411" customWidth="1"/>
    <col min="9988" max="9988" width="19.140625" style="411" customWidth="1"/>
    <col min="9989" max="9989" width="35.140625" style="411" customWidth="1"/>
    <col min="9990" max="9990" width="9.85546875" style="411" bestFit="1" customWidth="1"/>
    <col min="9991" max="9991" width="8.85546875" style="411" bestFit="1" customWidth="1"/>
    <col min="9992" max="10002" width="10.28515625" style="411" customWidth="1"/>
    <col min="10003" max="10242" width="9.140625" style="411"/>
    <col min="10243" max="10243" width="1.7109375" style="411" customWidth="1"/>
    <col min="10244" max="10244" width="19.140625" style="411" customWidth="1"/>
    <col min="10245" max="10245" width="35.140625" style="411" customWidth="1"/>
    <col min="10246" max="10246" width="9.85546875" style="411" bestFit="1" customWidth="1"/>
    <col min="10247" max="10247" width="8.85546875" style="411" bestFit="1" customWidth="1"/>
    <col min="10248" max="10258" width="10.28515625" style="411" customWidth="1"/>
    <col min="10259" max="10498" width="9.140625" style="411"/>
    <col min="10499" max="10499" width="1.7109375" style="411" customWidth="1"/>
    <col min="10500" max="10500" width="19.140625" style="411" customWidth="1"/>
    <col min="10501" max="10501" width="35.140625" style="411" customWidth="1"/>
    <col min="10502" max="10502" width="9.85546875" style="411" bestFit="1" customWidth="1"/>
    <col min="10503" max="10503" width="8.85546875" style="411" bestFit="1" customWidth="1"/>
    <col min="10504" max="10514" width="10.28515625" style="411" customWidth="1"/>
    <col min="10515" max="10754" width="9.140625" style="411"/>
    <col min="10755" max="10755" width="1.7109375" style="411" customWidth="1"/>
    <col min="10756" max="10756" width="19.140625" style="411" customWidth="1"/>
    <col min="10757" max="10757" width="35.140625" style="411" customWidth="1"/>
    <col min="10758" max="10758" width="9.85546875" style="411" bestFit="1" customWidth="1"/>
    <col min="10759" max="10759" width="8.85546875" style="411" bestFit="1" customWidth="1"/>
    <col min="10760" max="10770" width="10.28515625" style="411" customWidth="1"/>
    <col min="10771" max="11010" width="9.140625" style="411"/>
    <col min="11011" max="11011" width="1.7109375" style="411" customWidth="1"/>
    <col min="11012" max="11012" width="19.140625" style="411" customWidth="1"/>
    <col min="11013" max="11013" width="35.140625" style="411" customWidth="1"/>
    <col min="11014" max="11014" width="9.85546875" style="411" bestFit="1" customWidth="1"/>
    <col min="11015" max="11015" width="8.85546875" style="411" bestFit="1" customWidth="1"/>
    <col min="11016" max="11026" width="10.28515625" style="411" customWidth="1"/>
    <col min="11027" max="11266" width="9.140625" style="411"/>
    <col min="11267" max="11267" width="1.7109375" style="411" customWidth="1"/>
    <col min="11268" max="11268" width="19.140625" style="411" customWidth="1"/>
    <col min="11269" max="11269" width="35.140625" style="411" customWidth="1"/>
    <col min="11270" max="11270" width="9.85546875" style="411" bestFit="1" customWidth="1"/>
    <col min="11271" max="11271" width="8.85546875" style="411" bestFit="1" customWidth="1"/>
    <col min="11272" max="11282" width="10.28515625" style="411" customWidth="1"/>
    <col min="11283" max="11522" width="9.140625" style="411"/>
    <col min="11523" max="11523" width="1.7109375" style="411" customWidth="1"/>
    <col min="11524" max="11524" width="19.140625" style="411" customWidth="1"/>
    <col min="11525" max="11525" width="35.140625" style="411" customWidth="1"/>
    <col min="11526" max="11526" width="9.85546875" style="411" bestFit="1" customWidth="1"/>
    <col min="11527" max="11527" width="8.85546875" style="411" bestFit="1" customWidth="1"/>
    <col min="11528" max="11538" width="10.28515625" style="411" customWidth="1"/>
    <col min="11539" max="11778" width="9.140625" style="411"/>
    <col min="11779" max="11779" width="1.7109375" style="411" customWidth="1"/>
    <col min="11780" max="11780" width="19.140625" style="411" customWidth="1"/>
    <col min="11781" max="11781" width="35.140625" style="411" customWidth="1"/>
    <col min="11782" max="11782" width="9.85546875" style="411" bestFit="1" customWidth="1"/>
    <col min="11783" max="11783" width="8.85546875" style="411" bestFit="1" customWidth="1"/>
    <col min="11784" max="11794" width="10.28515625" style="411" customWidth="1"/>
    <col min="11795" max="12034" width="9.140625" style="411"/>
    <col min="12035" max="12035" width="1.7109375" style="411" customWidth="1"/>
    <col min="12036" max="12036" width="19.140625" style="411" customWidth="1"/>
    <col min="12037" max="12037" width="35.140625" style="411" customWidth="1"/>
    <col min="12038" max="12038" width="9.85546875" style="411" bestFit="1" customWidth="1"/>
    <col min="12039" max="12039" width="8.85546875" style="411" bestFit="1" customWidth="1"/>
    <col min="12040" max="12050" width="10.28515625" style="411" customWidth="1"/>
    <col min="12051" max="12290" width="9.140625" style="411"/>
    <col min="12291" max="12291" width="1.7109375" style="411" customWidth="1"/>
    <col min="12292" max="12292" width="19.140625" style="411" customWidth="1"/>
    <col min="12293" max="12293" width="35.140625" style="411" customWidth="1"/>
    <col min="12294" max="12294" width="9.85546875" style="411" bestFit="1" customWidth="1"/>
    <col min="12295" max="12295" width="8.85546875" style="411" bestFit="1" customWidth="1"/>
    <col min="12296" max="12306" width="10.28515625" style="411" customWidth="1"/>
    <col min="12307" max="12546" width="9.140625" style="411"/>
    <col min="12547" max="12547" width="1.7109375" style="411" customWidth="1"/>
    <col min="12548" max="12548" width="19.140625" style="411" customWidth="1"/>
    <col min="12549" max="12549" width="35.140625" style="411" customWidth="1"/>
    <col min="12550" max="12550" width="9.85546875" style="411" bestFit="1" customWidth="1"/>
    <col min="12551" max="12551" width="8.85546875" style="411" bestFit="1" customWidth="1"/>
    <col min="12552" max="12562" width="10.28515625" style="411" customWidth="1"/>
    <col min="12563" max="12802" width="9.140625" style="411"/>
    <col min="12803" max="12803" width="1.7109375" style="411" customWidth="1"/>
    <col min="12804" max="12804" width="19.140625" style="411" customWidth="1"/>
    <col min="12805" max="12805" width="35.140625" style="411" customWidth="1"/>
    <col min="12806" max="12806" width="9.85546875" style="411" bestFit="1" customWidth="1"/>
    <col min="12807" max="12807" width="8.85546875" style="411" bestFit="1" customWidth="1"/>
    <col min="12808" max="12818" width="10.28515625" style="411" customWidth="1"/>
    <col min="12819" max="13058" width="9.140625" style="411"/>
    <col min="13059" max="13059" width="1.7109375" style="411" customWidth="1"/>
    <col min="13060" max="13060" width="19.140625" style="411" customWidth="1"/>
    <col min="13061" max="13061" width="35.140625" style="411" customWidth="1"/>
    <col min="13062" max="13062" width="9.85546875" style="411" bestFit="1" customWidth="1"/>
    <col min="13063" max="13063" width="8.85546875" style="411" bestFit="1" customWidth="1"/>
    <col min="13064" max="13074" width="10.28515625" style="411" customWidth="1"/>
    <col min="13075" max="13314" width="9.140625" style="411"/>
    <col min="13315" max="13315" width="1.7109375" style="411" customWidth="1"/>
    <col min="13316" max="13316" width="19.140625" style="411" customWidth="1"/>
    <col min="13317" max="13317" width="35.140625" style="411" customWidth="1"/>
    <col min="13318" max="13318" width="9.85546875" style="411" bestFit="1" customWidth="1"/>
    <col min="13319" max="13319" width="8.85546875" style="411" bestFit="1" customWidth="1"/>
    <col min="13320" max="13330" width="10.28515625" style="411" customWidth="1"/>
    <col min="13331" max="13570" width="9.140625" style="411"/>
    <col min="13571" max="13571" width="1.7109375" style="411" customWidth="1"/>
    <col min="13572" max="13572" width="19.140625" style="411" customWidth="1"/>
    <col min="13573" max="13573" width="35.140625" style="411" customWidth="1"/>
    <col min="13574" max="13574" width="9.85546875" style="411" bestFit="1" customWidth="1"/>
    <col min="13575" max="13575" width="8.85546875" style="411" bestFit="1" customWidth="1"/>
    <col min="13576" max="13586" width="10.28515625" style="411" customWidth="1"/>
    <col min="13587" max="13826" width="9.140625" style="411"/>
    <col min="13827" max="13827" width="1.7109375" style="411" customWidth="1"/>
    <col min="13828" max="13828" width="19.140625" style="411" customWidth="1"/>
    <col min="13829" max="13829" width="35.140625" style="411" customWidth="1"/>
    <col min="13830" max="13830" width="9.85546875" style="411" bestFit="1" customWidth="1"/>
    <col min="13831" max="13831" width="8.85546875" style="411" bestFit="1" customWidth="1"/>
    <col min="13832" max="13842" width="10.28515625" style="411" customWidth="1"/>
    <col min="13843" max="14082" width="9.140625" style="411"/>
    <col min="14083" max="14083" width="1.7109375" style="411" customWidth="1"/>
    <col min="14084" max="14084" width="19.140625" style="411" customWidth="1"/>
    <col min="14085" max="14085" width="35.140625" style="411" customWidth="1"/>
    <col min="14086" max="14086" width="9.85546875" style="411" bestFit="1" customWidth="1"/>
    <col min="14087" max="14087" width="8.85546875" style="411" bestFit="1" customWidth="1"/>
    <col min="14088" max="14098" width="10.28515625" style="411" customWidth="1"/>
    <col min="14099" max="14338" width="9.140625" style="411"/>
    <col min="14339" max="14339" width="1.7109375" style="411" customWidth="1"/>
    <col min="14340" max="14340" width="19.140625" style="411" customWidth="1"/>
    <col min="14341" max="14341" width="35.140625" style="411" customWidth="1"/>
    <col min="14342" max="14342" width="9.85546875" style="411" bestFit="1" customWidth="1"/>
    <col min="14343" max="14343" width="8.85546875" style="411" bestFit="1" customWidth="1"/>
    <col min="14344" max="14354" width="10.28515625" style="411" customWidth="1"/>
    <col min="14355" max="14594" width="9.140625" style="411"/>
    <col min="14595" max="14595" width="1.7109375" style="411" customWidth="1"/>
    <col min="14596" max="14596" width="19.140625" style="411" customWidth="1"/>
    <col min="14597" max="14597" width="35.140625" style="411" customWidth="1"/>
    <col min="14598" max="14598" width="9.85546875" style="411" bestFit="1" customWidth="1"/>
    <col min="14599" max="14599" width="8.85546875" style="411" bestFit="1" customWidth="1"/>
    <col min="14600" max="14610" width="10.28515625" style="411" customWidth="1"/>
    <col min="14611" max="14850" width="9.140625" style="411"/>
    <col min="14851" max="14851" width="1.7109375" style="411" customWidth="1"/>
    <col min="14852" max="14852" width="19.140625" style="411" customWidth="1"/>
    <col min="14853" max="14853" width="35.140625" style="411" customWidth="1"/>
    <col min="14854" max="14854" width="9.85546875" style="411" bestFit="1" customWidth="1"/>
    <col min="14855" max="14855" width="8.85546875" style="411" bestFit="1" customWidth="1"/>
    <col min="14856" max="14866" width="10.28515625" style="411" customWidth="1"/>
    <col min="14867" max="15106" width="9.140625" style="411"/>
    <col min="15107" max="15107" width="1.7109375" style="411" customWidth="1"/>
    <col min="15108" max="15108" width="19.140625" style="411" customWidth="1"/>
    <col min="15109" max="15109" width="35.140625" style="411" customWidth="1"/>
    <col min="15110" max="15110" width="9.85546875" style="411" bestFit="1" customWidth="1"/>
    <col min="15111" max="15111" width="8.85546875" style="411" bestFit="1" customWidth="1"/>
    <col min="15112" max="15122" width="10.28515625" style="411" customWidth="1"/>
    <col min="15123" max="15362" width="9.140625" style="411"/>
    <col min="15363" max="15363" width="1.7109375" style="411" customWidth="1"/>
    <col min="15364" max="15364" width="19.140625" style="411" customWidth="1"/>
    <col min="15365" max="15365" width="35.140625" style="411" customWidth="1"/>
    <col min="15366" max="15366" width="9.85546875" style="411" bestFit="1" customWidth="1"/>
    <col min="15367" max="15367" width="8.85546875" style="411" bestFit="1" customWidth="1"/>
    <col min="15368" max="15378" width="10.28515625" style="411" customWidth="1"/>
    <col min="15379" max="15618" width="9.140625" style="411"/>
    <col min="15619" max="15619" width="1.7109375" style="411" customWidth="1"/>
    <col min="15620" max="15620" width="19.140625" style="411" customWidth="1"/>
    <col min="15621" max="15621" width="35.140625" style="411" customWidth="1"/>
    <col min="15622" max="15622" width="9.85546875" style="411" bestFit="1" customWidth="1"/>
    <col min="15623" max="15623" width="8.85546875" style="411" bestFit="1" customWidth="1"/>
    <col min="15624" max="15634" width="10.28515625" style="411" customWidth="1"/>
    <col min="15635" max="15874" width="9.140625" style="411"/>
    <col min="15875" max="15875" width="1.7109375" style="411" customWidth="1"/>
    <col min="15876" max="15876" width="19.140625" style="411" customWidth="1"/>
    <col min="15877" max="15877" width="35.140625" style="411" customWidth="1"/>
    <col min="15878" max="15878" width="9.85546875" style="411" bestFit="1" customWidth="1"/>
    <col min="15879" max="15879" width="8.85546875" style="411" bestFit="1" customWidth="1"/>
    <col min="15880" max="15890" width="10.28515625" style="411" customWidth="1"/>
    <col min="15891" max="16130" width="9.140625" style="411"/>
    <col min="16131" max="16131" width="1.7109375" style="411" customWidth="1"/>
    <col min="16132" max="16132" width="19.140625" style="411" customWidth="1"/>
    <col min="16133" max="16133" width="35.140625" style="411" customWidth="1"/>
    <col min="16134" max="16134" width="9.85546875" style="411" bestFit="1" customWidth="1"/>
    <col min="16135" max="16135" width="8.85546875" style="411" bestFit="1" customWidth="1"/>
    <col min="16136" max="16146" width="10.28515625" style="411" customWidth="1"/>
    <col min="16147" max="16384" width="9.140625" style="411"/>
  </cols>
  <sheetData>
    <row r="1" spans="1:19" s="386" customFormat="1" ht="36" customHeight="1" x14ac:dyDescent="0.25">
      <c r="A1" s="384"/>
      <c r="B1" s="384"/>
      <c r="C1" s="384"/>
      <c r="D1" s="731" t="s">
        <v>105</v>
      </c>
      <c r="E1" s="732"/>
      <c r="F1" s="733"/>
      <c r="G1" s="729" t="s">
        <v>222</v>
      </c>
      <c r="H1" s="729"/>
      <c r="I1" s="730"/>
      <c r="J1" s="728" t="s">
        <v>166</v>
      </c>
      <c r="K1" s="729"/>
      <c r="L1" s="730"/>
      <c r="M1" s="728" t="s">
        <v>167</v>
      </c>
      <c r="N1" s="729"/>
      <c r="O1" s="730"/>
      <c r="P1" s="728" t="s">
        <v>171</v>
      </c>
      <c r="Q1" s="729"/>
      <c r="R1" s="739"/>
      <c r="S1" s="385"/>
    </row>
    <row r="2" spans="1:19" s="386" customFormat="1" ht="36" customHeight="1" x14ac:dyDescent="0.25">
      <c r="A2" s="384" t="s">
        <v>371</v>
      </c>
      <c r="B2" s="384"/>
      <c r="C2" s="384"/>
      <c r="D2" s="647"/>
      <c r="E2" s="645"/>
      <c r="F2" s="646"/>
      <c r="G2" s="738" t="s">
        <v>372</v>
      </c>
      <c r="H2" s="729"/>
      <c r="I2" s="730"/>
      <c r="J2" s="728" t="s">
        <v>373</v>
      </c>
      <c r="K2" s="729"/>
      <c r="L2" s="730"/>
      <c r="M2" s="728" t="s">
        <v>375</v>
      </c>
      <c r="N2" s="729"/>
      <c r="O2" s="730"/>
      <c r="P2" s="728" t="s">
        <v>374</v>
      </c>
      <c r="Q2" s="729"/>
      <c r="R2" s="739"/>
      <c r="S2" s="385"/>
    </row>
    <row r="3" spans="1:19" s="386" customFormat="1" ht="36" customHeight="1" x14ac:dyDescent="0.25">
      <c r="A3" s="384" t="s">
        <v>232</v>
      </c>
      <c r="B3" s="384"/>
      <c r="C3" s="384"/>
      <c r="D3" s="387"/>
      <c r="E3" s="388"/>
      <c r="F3" s="389"/>
      <c r="G3" s="734" t="str">
        <f>'TCO TO BE- SW'!F1</f>
        <v>Monitorovanie parkovania</v>
      </c>
      <c r="H3" s="735"/>
      <c r="I3" s="736"/>
      <c r="J3" s="737" t="e">
        <f>'TCO TO BE- SW'!#REF!</f>
        <v>#REF!</v>
      </c>
      <c r="K3" s="735"/>
      <c r="L3" s="736"/>
      <c r="M3" s="737" t="str">
        <f>'TCO TO BE- SW'!G1</f>
        <v>Monitorovanie bezpečnosti</v>
      </c>
      <c r="N3" s="735"/>
      <c r="O3" s="736"/>
      <c r="P3" s="737" t="str">
        <f>'TCO TO BE- SW'!I1</f>
        <v>Monitorovanie kvality ovzdušia</v>
      </c>
      <c r="Q3" s="735"/>
      <c r="R3" s="744"/>
      <c r="S3" s="385"/>
    </row>
    <row r="4" spans="1:19" s="386" customFormat="1" ht="36" customHeight="1" x14ac:dyDescent="0.25">
      <c r="A4" s="384" t="s">
        <v>233</v>
      </c>
      <c r="B4" s="384"/>
      <c r="C4" s="384"/>
      <c r="D4" s="387"/>
      <c r="E4" s="388"/>
      <c r="F4" s="389"/>
      <c r="G4" s="734" t="str">
        <f>'TCO TO BE - HW'!F1</f>
        <v>Monitorovanie parkovania</v>
      </c>
      <c r="H4" s="735"/>
      <c r="I4" s="736"/>
      <c r="J4" s="737" t="e">
        <f>'TCO TO BE - HW'!#REF!</f>
        <v>#REF!</v>
      </c>
      <c r="K4" s="735"/>
      <c r="L4" s="736"/>
      <c r="M4" s="737" t="str">
        <f>'TCO TO BE - HW'!G1</f>
        <v>Monitorovanie bezpečnosti</v>
      </c>
      <c r="N4" s="735"/>
      <c r="O4" s="736"/>
      <c r="P4" s="737" t="str">
        <f>'TCO TO BE - HW'!H1</f>
        <v>SOS hláska</v>
      </c>
      <c r="Q4" s="735"/>
      <c r="R4" s="744"/>
      <c r="S4" s="385"/>
    </row>
    <row r="5" spans="1:19" s="400" customFormat="1" ht="15.75" customHeight="1" thickBot="1" x14ac:dyDescent="0.3">
      <c r="A5" s="390" t="s">
        <v>40</v>
      </c>
      <c r="B5" s="390" t="s">
        <v>10</v>
      </c>
      <c r="C5" s="391" t="s">
        <v>23</v>
      </c>
      <c r="D5" s="392" t="s">
        <v>237</v>
      </c>
      <c r="E5" s="393" t="s">
        <v>176</v>
      </c>
      <c r="F5" s="394" t="s">
        <v>161</v>
      </c>
      <c r="G5" s="395" t="s">
        <v>237</v>
      </c>
      <c r="H5" s="395" t="s">
        <v>176</v>
      </c>
      <c r="I5" s="396" t="s">
        <v>161</v>
      </c>
      <c r="J5" s="397" t="s">
        <v>237</v>
      </c>
      <c r="K5" s="395" t="s">
        <v>176</v>
      </c>
      <c r="L5" s="396" t="s">
        <v>161</v>
      </c>
      <c r="M5" s="397" t="s">
        <v>237</v>
      </c>
      <c r="N5" s="395" t="s">
        <v>176</v>
      </c>
      <c r="O5" s="396" t="s">
        <v>161</v>
      </c>
      <c r="P5" s="397" t="s">
        <v>237</v>
      </c>
      <c r="Q5" s="395" t="s">
        <v>176</v>
      </c>
      <c r="R5" s="398" t="s">
        <v>161</v>
      </c>
      <c r="S5" s="399"/>
    </row>
    <row r="6" spans="1:19" ht="14.45" customHeight="1" x14ac:dyDescent="0.25">
      <c r="A6" s="722" t="s">
        <v>334</v>
      </c>
      <c r="B6" s="725" t="s">
        <v>37</v>
      </c>
      <c r="C6" s="401" t="s">
        <v>25</v>
      </c>
      <c r="D6" s="402">
        <f>G6+J6+M6+P6</f>
        <v>2201000</v>
      </c>
      <c r="E6" s="403">
        <f>H6+K6+N6+Q6</f>
        <v>2201000</v>
      </c>
      <c r="F6" s="404">
        <f>I6+L6+O6+R6</f>
        <v>0</v>
      </c>
      <c r="G6" s="405">
        <v>2000000</v>
      </c>
      <c r="H6" s="406">
        <v>2000000</v>
      </c>
      <c r="I6" s="407">
        <f>H6-G6</f>
        <v>0</v>
      </c>
      <c r="J6" s="406">
        <v>200000</v>
      </c>
      <c r="K6" s="406">
        <v>200000</v>
      </c>
      <c r="L6" s="407">
        <f>K6-J6</f>
        <v>0</v>
      </c>
      <c r="M6" s="406">
        <v>0</v>
      </c>
      <c r="N6" s="406">
        <v>0</v>
      </c>
      <c r="O6" s="407">
        <f>N6-M6</f>
        <v>0</v>
      </c>
      <c r="P6" s="406">
        <v>1000</v>
      </c>
      <c r="Q6" s="408">
        <v>1000</v>
      </c>
      <c r="R6" s="409">
        <f>Q6-P6</f>
        <v>0</v>
      </c>
      <c r="S6" s="410">
        <v>0</v>
      </c>
    </row>
    <row r="7" spans="1:19" x14ac:dyDescent="0.25">
      <c r="A7" s="723"/>
      <c r="B7" s="726"/>
      <c r="C7" s="412" t="s">
        <v>26</v>
      </c>
      <c r="D7" s="413">
        <f t="shared" ref="D7:D15" si="0">G7+J7+M7+P7</f>
        <v>2751200</v>
      </c>
      <c r="E7" s="414">
        <f t="shared" ref="E7:E15" si="1">H7+K7+N7+Q7</f>
        <v>3081200</v>
      </c>
      <c r="F7" s="415">
        <f t="shared" ref="F7:F15" si="2">I7+L7+O7+R7</f>
        <v>330000</v>
      </c>
      <c r="G7" s="416">
        <v>2500000</v>
      </c>
      <c r="H7" s="417">
        <v>2800000</v>
      </c>
      <c r="I7" s="418">
        <f t="shared" ref="I7:I25" si="3">H7-G7</f>
        <v>300000</v>
      </c>
      <c r="J7" s="417">
        <v>250000</v>
      </c>
      <c r="K7" s="417">
        <v>280000</v>
      </c>
      <c r="L7" s="418">
        <f t="shared" ref="L7:L25" si="4">K7-J7</f>
        <v>30000</v>
      </c>
      <c r="M7" s="417">
        <v>0</v>
      </c>
      <c r="N7" s="417">
        <v>0</v>
      </c>
      <c r="O7" s="418">
        <f t="shared" ref="O7:O25" si="5">N7-M7</f>
        <v>0</v>
      </c>
      <c r="P7" s="417">
        <v>1200</v>
      </c>
      <c r="Q7" s="419">
        <v>1200</v>
      </c>
      <c r="R7" s="420">
        <f t="shared" ref="R7:R25" si="6">Q7-P7</f>
        <v>0</v>
      </c>
      <c r="S7" s="410"/>
    </row>
    <row r="8" spans="1:19" x14ac:dyDescent="0.25">
      <c r="A8" s="723"/>
      <c r="B8" s="726"/>
      <c r="C8" s="412" t="s">
        <v>27</v>
      </c>
      <c r="D8" s="413">
        <f t="shared" si="0"/>
        <v>3301200</v>
      </c>
      <c r="E8" s="414">
        <f t="shared" si="1"/>
        <v>4256200</v>
      </c>
      <c r="F8" s="415">
        <f t="shared" si="2"/>
        <v>955000</v>
      </c>
      <c r="G8" s="416">
        <v>3000000</v>
      </c>
      <c r="H8" s="417">
        <v>3700000</v>
      </c>
      <c r="I8" s="418">
        <f t="shared" si="3"/>
        <v>700000</v>
      </c>
      <c r="J8" s="417">
        <v>300000</v>
      </c>
      <c r="K8" s="417">
        <v>370000</v>
      </c>
      <c r="L8" s="418">
        <f t="shared" si="4"/>
        <v>70000</v>
      </c>
      <c r="M8" s="417">
        <v>0</v>
      </c>
      <c r="N8" s="417">
        <v>185000</v>
      </c>
      <c r="O8" s="418">
        <f t="shared" si="5"/>
        <v>185000</v>
      </c>
      <c r="P8" s="417">
        <v>1200</v>
      </c>
      <c r="Q8" s="419">
        <v>1200</v>
      </c>
      <c r="R8" s="420">
        <f t="shared" si="6"/>
        <v>0</v>
      </c>
      <c r="S8" s="410"/>
    </row>
    <row r="9" spans="1:19" x14ac:dyDescent="0.25">
      <c r="A9" s="723"/>
      <c r="B9" s="726"/>
      <c r="C9" s="412" t="s">
        <v>28</v>
      </c>
      <c r="D9" s="413">
        <f t="shared" si="0"/>
        <v>3850900</v>
      </c>
      <c r="E9" s="414">
        <f t="shared" si="1"/>
        <v>5568900</v>
      </c>
      <c r="F9" s="415">
        <f t="shared" si="2"/>
        <v>1718000</v>
      </c>
      <c r="G9" s="416">
        <v>3500000</v>
      </c>
      <c r="H9" s="417">
        <v>4800000</v>
      </c>
      <c r="I9" s="418">
        <f t="shared" si="3"/>
        <v>1300000</v>
      </c>
      <c r="J9" s="417">
        <v>350000</v>
      </c>
      <c r="K9" s="417">
        <v>480000</v>
      </c>
      <c r="L9" s="418">
        <f t="shared" si="4"/>
        <v>130000</v>
      </c>
      <c r="M9" s="417">
        <v>0</v>
      </c>
      <c r="N9" s="417">
        <v>288000</v>
      </c>
      <c r="O9" s="418">
        <f t="shared" si="5"/>
        <v>288000</v>
      </c>
      <c r="P9" s="417">
        <v>900</v>
      </c>
      <c r="Q9" s="419">
        <v>900</v>
      </c>
      <c r="R9" s="420">
        <f t="shared" si="6"/>
        <v>0</v>
      </c>
      <c r="S9" s="410"/>
    </row>
    <row r="10" spans="1:19" x14ac:dyDescent="0.25">
      <c r="A10" s="723"/>
      <c r="B10" s="726"/>
      <c r="C10" s="412" t="s">
        <v>29</v>
      </c>
      <c r="D10" s="413">
        <f t="shared" si="0"/>
        <v>4400600</v>
      </c>
      <c r="E10" s="414">
        <f t="shared" si="1"/>
        <v>6962100</v>
      </c>
      <c r="F10" s="415">
        <f t="shared" si="2"/>
        <v>2561500</v>
      </c>
      <c r="G10" s="416">
        <v>4000000</v>
      </c>
      <c r="H10" s="417">
        <v>5950000</v>
      </c>
      <c r="I10" s="418">
        <f t="shared" si="3"/>
        <v>1950000</v>
      </c>
      <c r="J10" s="417">
        <v>400000</v>
      </c>
      <c r="K10" s="417">
        <v>595000</v>
      </c>
      <c r="L10" s="418">
        <f t="shared" si="4"/>
        <v>195000</v>
      </c>
      <c r="M10" s="417">
        <v>0</v>
      </c>
      <c r="N10" s="417">
        <v>416500.00000000006</v>
      </c>
      <c r="O10" s="418">
        <f t="shared" si="5"/>
        <v>416500.00000000006</v>
      </c>
      <c r="P10" s="417">
        <v>600</v>
      </c>
      <c r="Q10" s="419">
        <v>600</v>
      </c>
      <c r="R10" s="420">
        <f t="shared" si="6"/>
        <v>0</v>
      </c>
      <c r="S10" s="410"/>
    </row>
    <row r="11" spans="1:19" x14ac:dyDescent="0.25">
      <c r="A11" s="723"/>
      <c r="B11" s="726"/>
      <c r="C11" s="412" t="s">
        <v>30</v>
      </c>
      <c r="D11" s="413">
        <f t="shared" si="0"/>
        <v>4950500</v>
      </c>
      <c r="E11" s="414">
        <f t="shared" si="1"/>
        <v>8496500</v>
      </c>
      <c r="F11" s="415">
        <f t="shared" si="2"/>
        <v>3546000</v>
      </c>
      <c r="G11" s="416">
        <v>4500000</v>
      </c>
      <c r="H11" s="417">
        <v>7200000</v>
      </c>
      <c r="I11" s="418">
        <f t="shared" si="3"/>
        <v>2700000</v>
      </c>
      <c r="J11" s="417">
        <v>450000</v>
      </c>
      <c r="K11" s="417">
        <v>720000</v>
      </c>
      <c r="L11" s="418">
        <f t="shared" si="4"/>
        <v>270000</v>
      </c>
      <c r="M11" s="417">
        <v>0</v>
      </c>
      <c r="N11" s="417">
        <v>576000</v>
      </c>
      <c r="O11" s="418">
        <f t="shared" si="5"/>
        <v>576000</v>
      </c>
      <c r="P11" s="417">
        <v>500</v>
      </c>
      <c r="Q11" s="419">
        <v>500</v>
      </c>
      <c r="R11" s="420">
        <f t="shared" si="6"/>
        <v>0</v>
      </c>
      <c r="S11" s="410"/>
    </row>
    <row r="12" spans="1:19" x14ac:dyDescent="0.25">
      <c r="A12" s="723"/>
      <c r="B12" s="726"/>
      <c r="C12" s="412" t="s">
        <v>31</v>
      </c>
      <c r="D12" s="413">
        <f t="shared" si="0"/>
        <v>5500400</v>
      </c>
      <c r="E12" s="414">
        <f t="shared" si="1"/>
        <v>10055900</v>
      </c>
      <c r="F12" s="415">
        <f t="shared" si="2"/>
        <v>4555500</v>
      </c>
      <c r="G12" s="416">
        <v>5000000</v>
      </c>
      <c r="H12" s="417">
        <v>8450000</v>
      </c>
      <c r="I12" s="418">
        <f t="shared" si="3"/>
        <v>3450000</v>
      </c>
      <c r="J12" s="417">
        <v>500000</v>
      </c>
      <c r="K12" s="417">
        <v>845000</v>
      </c>
      <c r="L12" s="418">
        <f t="shared" si="4"/>
        <v>345000</v>
      </c>
      <c r="M12" s="417">
        <v>0</v>
      </c>
      <c r="N12" s="417">
        <v>760500</v>
      </c>
      <c r="O12" s="418">
        <f t="shared" si="5"/>
        <v>760500</v>
      </c>
      <c r="P12" s="417">
        <v>400</v>
      </c>
      <c r="Q12" s="419">
        <v>400</v>
      </c>
      <c r="R12" s="420">
        <f t="shared" si="6"/>
        <v>0</v>
      </c>
      <c r="S12" s="410"/>
    </row>
    <row r="13" spans="1:19" x14ac:dyDescent="0.25">
      <c r="A13" s="723"/>
      <c r="B13" s="726"/>
      <c r="C13" s="412" t="s">
        <v>32</v>
      </c>
      <c r="D13" s="413">
        <f t="shared" si="0"/>
        <v>5830400</v>
      </c>
      <c r="E13" s="414">
        <f t="shared" si="1"/>
        <v>11520400</v>
      </c>
      <c r="F13" s="415">
        <f t="shared" si="2"/>
        <v>5690000</v>
      </c>
      <c r="G13" s="416">
        <v>5300000</v>
      </c>
      <c r="H13" s="417">
        <v>9600000</v>
      </c>
      <c r="I13" s="418">
        <f t="shared" si="3"/>
        <v>4300000</v>
      </c>
      <c r="J13" s="417">
        <v>530000</v>
      </c>
      <c r="K13" s="417">
        <v>960000</v>
      </c>
      <c r="L13" s="418">
        <f t="shared" si="4"/>
        <v>430000</v>
      </c>
      <c r="M13" s="417">
        <v>0</v>
      </c>
      <c r="N13" s="417">
        <v>960000</v>
      </c>
      <c r="O13" s="418">
        <f t="shared" si="5"/>
        <v>960000</v>
      </c>
      <c r="P13" s="417">
        <v>400</v>
      </c>
      <c r="Q13" s="419">
        <v>400</v>
      </c>
      <c r="R13" s="420">
        <f t="shared" si="6"/>
        <v>0</v>
      </c>
      <c r="S13" s="410"/>
    </row>
    <row r="14" spans="1:19" x14ac:dyDescent="0.25">
      <c r="A14" s="723"/>
      <c r="B14" s="726"/>
      <c r="C14" s="412" t="s">
        <v>33</v>
      </c>
      <c r="D14" s="413">
        <f t="shared" si="0"/>
        <v>6160400</v>
      </c>
      <c r="E14" s="414">
        <f t="shared" si="1"/>
        <v>13375400</v>
      </c>
      <c r="F14" s="415">
        <f t="shared" si="2"/>
        <v>7215000</v>
      </c>
      <c r="G14" s="416">
        <v>5600000</v>
      </c>
      <c r="H14" s="417">
        <v>10700000</v>
      </c>
      <c r="I14" s="418">
        <f t="shared" si="3"/>
        <v>5100000</v>
      </c>
      <c r="J14" s="417">
        <v>560000</v>
      </c>
      <c r="K14" s="417">
        <v>1070000</v>
      </c>
      <c r="L14" s="418">
        <f t="shared" si="4"/>
        <v>510000</v>
      </c>
      <c r="M14" s="417">
        <v>0</v>
      </c>
      <c r="N14" s="417">
        <v>1605000</v>
      </c>
      <c r="O14" s="418">
        <f t="shared" si="5"/>
        <v>1605000</v>
      </c>
      <c r="P14" s="417">
        <v>400</v>
      </c>
      <c r="Q14" s="419">
        <v>400</v>
      </c>
      <c r="R14" s="420">
        <f t="shared" si="6"/>
        <v>0</v>
      </c>
      <c r="S14" s="410"/>
    </row>
    <row r="15" spans="1:19" ht="15.75" thickBot="1" x14ac:dyDescent="0.3">
      <c r="A15" s="724"/>
      <c r="B15" s="727"/>
      <c r="C15" s="421" t="s">
        <v>34</v>
      </c>
      <c r="D15" s="422">
        <f t="shared" si="0"/>
        <v>6380400</v>
      </c>
      <c r="E15" s="423">
        <f t="shared" si="1"/>
        <v>12610400</v>
      </c>
      <c r="F15" s="424">
        <f t="shared" si="2"/>
        <v>6230000</v>
      </c>
      <c r="G15" s="425">
        <v>5800000</v>
      </c>
      <c r="H15" s="426">
        <v>9700000</v>
      </c>
      <c r="I15" s="427">
        <f t="shared" si="3"/>
        <v>3900000</v>
      </c>
      <c r="J15" s="426">
        <v>580000</v>
      </c>
      <c r="K15" s="426">
        <v>970000</v>
      </c>
      <c r="L15" s="427">
        <f t="shared" si="4"/>
        <v>390000</v>
      </c>
      <c r="M15" s="426">
        <v>0</v>
      </c>
      <c r="N15" s="426">
        <v>1940000</v>
      </c>
      <c r="O15" s="427">
        <f t="shared" si="5"/>
        <v>1940000</v>
      </c>
      <c r="P15" s="426">
        <v>400</v>
      </c>
      <c r="Q15" s="428">
        <v>400</v>
      </c>
      <c r="R15" s="429">
        <f t="shared" si="6"/>
        <v>0</v>
      </c>
      <c r="S15" s="410"/>
    </row>
    <row r="16" spans="1:19" x14ac:dyDescent="0.25">
      <c r="A16" s="722" t="s">
        <v>199</v>
      </c>
      <c r="B16" s="725" t="s">
        <v>13</v>
      </c>
      <c r="C16" s="401" t="s">
        <v>25</v>
      </c>
      <c r="D16" s="430"/>
      <c r="E16" s="431"/>
      <c r="F16" s="432"/>
      <c r="G16" s="433">
        <f>0.83+0.02+0.01+0.03</f>
        <v>0.89</v>
      </c>
      <c r="H16" s="434">
        <f>G16</f>
        <v>0.89</v>
      </c>
      <c r="I16" s="435">
        <f t="shared" si="3"/>
        <v>0</v>
      </c>
      <c r="J16" s="434">
        <f t="shared" ref="J16:J25" si="7">0.83+0.02+0.01+0.03</f>
        <v>0.89</v>
      </c>
      <c r="K16" s="434">
        <f>J16</f>
        <v>0.89</v>
      </c>
      <c r="L16" s="435">
        <f t="shared" si="4"/>
        <v>0</v>
      </c>
      <c r="M16" s="434">
        <f t="shared" ref="M16:M25" si="8">0.83+0.02+0.01+0.03</f>
        <v>0.89</v>
      </c>
      <c r="N16" s="434">
        <f>M16</f>
        <v>0.89</v>
      </c>
      <c r="O16" s="435">
        <f t="shared" si="5"/>
        <v>0</v>
      </c>
      <c r="P16" s="434">
        <f t="shared" ref="P16:P25" si="9">0.83+0.02+0.01+0.03</f>
        <v>0.89</v>
      </c>
      <c r="Q16" s="436">
        <f>P16</f>
        <v>0.89</v>
      </c>
      <c r="R16" s="437">
        <f t="shared" si="6"/>
        <v>0</v>
      </c>
      <c r="S16" s="410"/>
    </row>
    <row r="17" spans="1:19" x14ac:dyDescent="0.25">
      <c r="A17" s="723"/>
      <c r="B17" s="726"/>
      <c r="C17" s="412" t="s">
        <v>26</v>
      </c>
      <c r="D17" s="438"/>
      <c r="E17" s="439"/>
      <c r="F17" s="440"/>
      <c r="G17" s="441">
        <f t="shared" ref="G17:G25" si="10">0.83+0.02+0.01+0.03</f>
        <v>0.89</v>
      </c>
      <c r="H17" s="442">
        <f>G17</f>
        <v>0.89</v>
      </c>
      <c r="I17" s="443">
        <f t="shared" si="3"/>
        <v>0</v>
      </c>
      <c r="J17" s="442">
        <f t="shared" si="7"/>
        <v>0.89</v>
      </c>
      <c r="K17" s="442">
        <f>J17</f>
        <v>0.89</v>
      </c>
      <c r="L17" s="443">
        <f t="shared" si="4"/>
        <v>0</v>
      </c>
      <c r="M17" s="442">
        <f t="shared" si="8"/>
        <v>0.89</v>
      </c>
      <c r="N17" s="442">
        <f>M17</f>
        <v>0.89</v>
      </c>
      <c r="O17" s="443">
        <f t="shared" si="5"/>
        <v>0</v>
      </c>
      <c r="P17" s="442">
        <f t="shared" si="9"/>
        <v>0.89</v>
      </c>
      <c r="Q17" s="444">
        <f>P17</f>
        <v>0.89</v>
      </c>
      <c r="R17" s="445">
        <f t="shared" si="6"/>
        <v>0</v>
      </c>
      <c r="S17" s="410"/>
    </row>
    <row r="18" spans="1:19" x14ac:dyDescent="0.25">
      <c r="A18" s="723"/>
      <c r="B18" s="726"/>
      <c r="C18" s="412" t="s">
        <v>27</v>
      </c>
      <c r="D18" s="438"/>
      <c r="E18" s="439"/>
      <c r="F18" s="440"/>
      <c r="G18" s="441">
        <f t="shared" si="10"/>
        <v>0.89</v>
      </c>
      <c r="H18" s="442">
        <v>0.2</v>
      </c>
      <c r="I18" s="443">
        <f t="shared" si="3"/>
        <v>-0.69</v>
      </c>
      <c r="J18" s="442">
        <f t="shared" si="7"/>
        <v>0.89</v>
      </c>
      <c r="K18" s="442">
        <v>0.2</v>
      </c>
      <c r="L18" s="443">
        <f t="shared" si="4"/>
        <v>-0.69</v>
      </c>
      <c r="M18" s="442">
        <f t="shared" si="8"/>
        <v>0.89</v>
      </c>
      <c r="N18" s="442">
        <v>0.2</v>
      </c>
      <c r="O18" s="443">
        <f t="shared" si="5"/>
        <v>-0.69</v>
      </c>
      <c r="P18" s="442">
        <f t="shared" si="9"/>
        <v>0.89</v>
      </c>
      <c r="Q18" s="444">
        <v>0.2</v>
      </c>
      <c r="R18" s="445">
        <f t="shared" si="6"/>
        <v>-0.69</v>
      </c>
      <c r="S18" s="410"/>
    </row>
    <row r="19" spans="1:19" x14ac:dyDescent="0.25">
      <c r="A19" s="723"/>
      <c r="B19" s="726"/>
      <c r="C19" s="412" t="s">
        <v>28</v>
      </c>
      <c r="D19" s="438"/>
      <c r="E19" s="439"/>
      <c r="F19" s="440"/>
      <c r="G19" s="441">
        <f t="shared" si="10"/>
        <v>0.89</v>
      </c>
      <c r="H19" s="442">
        <v>0.2</v>
      </c>
      <c r="I19" s="443">
        <f t="shared" si="3"/>
        <v>-0.69</v>
      </c>
      <c r="J19" s="442">
        <f t="shared" si="7"/>
        <v>0.89</v>
      </c>
      <c r="K19" s="442">
        <v>0.2</v>
      </c>
      <c r="L19" s="443">
        <f t="shared" si="4"/>
        <v>-0.69</v>
      </c>
      <c r="M19" s="442">
        <f t="shared" si="8"/>
        <v>0.89</v>
      </c>
      <c r="N19" s="442">
        <v>0.2</v>
      </c>
      <c r="O19" s="443">
        <f t="shared" si="5"/>
        <v>-0.69</v>
      </c>
      <c r="P19" s="442">
        <f t="shared" si="9"/>
        <v>0.89</v>
      </c>
      <c r="Q19" s="444">
        <v>0.2</v>
      </c>
      <c r="R19" s="445">
        <f t="shared" si="6"/>
        <v>-0.69</v>
      </c>
      <c r="S19" s="410"/>
    </row>
    <row r="20" spans="1:19" x14ac:dyDescent="0.25">
      <c r="A20" s="723"/>
      <c r="B20" s="726"/>
      <c r="C20" s="412" t="s">
        <v>29</v>
      </c>
      <c r="D20" s="438"/>
      <c r="E20" s="439"/>
      <c r="F20" s="440"/>
      <c r="G20" s="441">
        <f t="shared" si="10"/>
        <v>0.89</v>
      </c>
      <c r="H20" s="442">
        <v>0.2</v>
      </c>
      <c r="I20" s="443">
        <f t="shared" si="3"/>
        <v>-0.69</v>
      </c>
      <c r="J20" s="442">
        <f t="shared" si="7"/>
        <v>0.89</v>
      </c>
      <c r="K20" s="442">
        <v>0.2</v>
      </c>
      <c r="L20" s="443">
        <f t="shared" si="4"/>
        <v>-0.69</v>
      </c>
      <c r="M20" s="442">
        <f t="shared" si="8"/>
        <v>0.89</v>
      </c>
      <c r="N20" s="442">
        <v>0.2</v>
      </c>
      <c r="O20" s="443">
        <f t="shared" si="5"/>
        <v>-0.69</v>
      </c>
      <c r="P20" s="442">
        <f t="shared" si="9"/>
        <v>0.89</v>
      </c>
      <c r="Q20" s="444">
        <v>0.2</v>
      </c>
      <c r="R20" s="445">
        <f t="shared" si="6"/>
        <v>-0.69</v>
      </c>
      <c r="S20" s="410"/>
    </row>
    <row r="21" spans="1:19" x14ac:dyDescent="0.25">
      <c r="A21" s="723"/>
      <c r="B21" s="726"/>
      <c r="C21" s="412" t="s">
        <v>30</v>
      </c>
      <c r="D21" s="438"/>
      <c r="E21" s="439"/>
      <c r="F21" s="440"/>
      <c r="G21" s="441">
        <f t="shared" si="10"/>
        <v>0.89</v>
      </c>
      <c r="H21" s="442">
        <v>0.2</v>
      </c>
      <c r="I21" s="443">
        <f t="shared" si="3"/>
        <v>-0.69</v>
      </c>
      <c r="J21" s="442">
        <f t="shared" si="7"/>
        <v>0.89</v>
      </c>
      <c r="K21" s="442">
        <v>0.2</v>
      </c>
      <c r="L21" s="443">
        <f t="shared" si="4"/>
        <v>-0.69</v>
      </c>
      <c r="M21" s="442">
        <f t="shared" si="8"/>
        <v>0.89</v>
      </c>
      <c r="N21" s="442">
        <v>0.2</v>
      </c>
      <c r="O21" s="443">
        <f t="shared" si="5"/>
        <v>-0.69</v>
      </c>
      <c r="P21" s="442">
        <f t="shared" si="9"/>
        <v>0.89</v>
      </c>
      <c r="Q21" s="444">
        <v>0.2</v>
      </c>
      <c r="R21" s="445">
        <f t="shared" si="6"/>
        <v>-0.69</v>
      </c>
      <c r="S21" s="410"/>
    </row>
    <row r="22" spans="1:19" x14ac:dyDescent="0.25">
      <c r="A22" s="723"/>
      <c r="B22" s="726"/>
      <c r="C22" s="412" t="s">
        <v>31</v>
      </c>
      <c r="D22" s="438"/>
      <c r="E22" s="439"/>
      <c r="F22" s="440"/>
      <c r="G22" s="441">
        <f t="shared" si="10"/>
        <v>0.89</v>
      </c>
      <c r="H22" s="442">
        <v>0.2</v>
      </c>
      <c r="I22" s="443">
        <f t="shared" si="3"/>
        <v>-0.69</v>
      </c>
      <c r="J22" s="442">
        <f t="shared" si="7"/>
        <v>0.89</v>
      </c>
      <c r="K22" s="442">
        <v>0.2</v>
      </c>
      <c r="L22" s="443">
        <f t="shared" si="4"/>
        <v>-0.69</v>
      </c>
      <c r="M22" s="442">
        <f t="shared" si="8"/>
        <v>0.89</v>
      </c>
      <c r="N22" s="442">
        <v>0.2</v>
      </c>
      <c r="O22" s="443">
        <f t="shared" si="5"/>
        <v>-0.69</v>
      </c>
      <c r="P22" s="442">
        <f t="shared" si="9"/>
        <v>0.89</v>
      </c>
      <c r="Q22" s="444">
        <v>0.2</v>
      </c>
      <c r="R22" s="445">
        <f t="shared" si="6"/>
        <v>-0.69</v>
      </c>
      <c r="S22" s="410"/>
    </row>
    <row r="23" spans="1:19" x14ac:dyDescent="0.25">
      <c r="A23" s="723"/>
      <c r="B23" s="726"/>
      <c r="C23" s="412" t="s">
        <v>32</v>
      </c>
      <c r="D23" s="438"/>
      <c r="E23" s="439"/>
      <c r="F23" s="440"/>
      <c r="G23" s="441">
        <f t="shared" si="10"/>
        <v>0.89</v>
      </c>
      <c r="H23" s="442">
        <v>0.2</v>
      </c>
      <c r="I23" s="443">
        <f t="shared" si="3"/>
        <v>-0.69</v>
      </c>
      <c r="J23" s="442">
        <f t="shared" si="7"/>
        <v>0.89</v>
      </c>
      <c r="K23" s="442">
        <v>0.2</v>
      </c>
      <c r="L23" s="443">
        <f t="shared" si="4"/>
        <v>-0.69</v>
      </c>
      <c r="M23" s="442">
        <f t="shared" si="8"/>
        <v>0.89</v>
      </c>
      <c r="N23" s="442">
        <v>0.2</v>
      </c>
      <c r="O23" s="443">
        <f t="shared" si="5"/>
        <v>-0.69</v>
      </c>
      <c r="P23" s="442">
        <f t="shared" si="9"/>
        <v>0.89</v>
      </c>
      <c r="Q23" s="444">
        <v>0.2</v>
      </c>
      <c r="R23" s="445">
        <f t="shared" si="6"/>
        <v>-0.69</v>
      </c>
      <c r="S23" s="410"/>
    </row>
    <row r="24" spans="1:19" x14ac:dyDescent="0.25">
      <c r="A24" s="723"/>
      <c r="B24" s="726"/>
      <c r="C24" s="412" t="s">
        <v>33</v>
      </c>
      <c r="D24" s="438"/>
      <c r="E24" s="439"/>
      <c r="F24" s="440"/>
      <c r="G24" s="441">
        <f t="shared" si="10"/>
        <v>0.89</v>
      </c>
      <c r="H24" s="442">
        <v>0.2</v>
      </c>
      <c r="I24" s="443">
        <f t="shared" si="3"/>
        <v>-0.69</v>
      </c>
      <c r="J24" s="442">
        <f t="shared" si="7"/>
        <v>0.89</v>
      </c>
      <c r="K24" s="442">
        <v>0.2</v>
      </c>
      <c r="L24" s="443">
        <f t="shared" si="4"/>
        <v>-0.69</v>
      </c>
      <c r="M24" s="442">
        <f t="shared" si="8"/>
        <v>0.89</v>
      </c>
      <c r="N24" s="442">
        <v>0.2</v>
      </c>
      <c r="O24" s="443">
        <f t="shared" si="5"/>
        <v>-0.69</v>
      </c>
      <c r="P24" s="442">
        <f t="shared" si="9"/>
        <v>0.89</v>
      </c>
      <c r="Q24" s="444">
        <v>0.2</v>
      </c>
      <c r="R24" s="445">
        <f t="shared" si="6"/>
        <v>-0.69</v>
      </c>
      <c r="S24" s="410"/>
    </row>
    <row r="25" spans="1:19" ht="15.75" thickBot="1" x14ac:dyDescent="0.3">
      <c r="A25" s="724"/>
      <c r="B25" s="727"/>
      <c r="C25" s="421" t="s">
        <v>34</v>
      </c>
      <c r="D25" s="446"/>
      <c r="E25" s="447"/>
      <c r="F25" s="448"/>
      <c r="G25" s="449">
        <f t="shared" si="10"/>
        <v>0.89</v>
      </c>
      <c r="H25" s="450">
        <v>0.2</v>
      </c>
      <c r="I25" s="451">
        <f t="shared" si="3"/>
        <v>-0.69</v>
      </c>
      <c r="J25" s="450">
        <f t="shared" si="7"/>
        <v>0.89</v>
      </c>
      <c r="K25" s="450">
        <v>0.2</v>
      </c>
      <c r="L25" s="451">
        <f t="shared" si="4"/>
        <v>-0.69</v>
      </c>
      <c r="M25" s="450">
        <f t="shared" si="8"/>
        <v>0.89</v>
      </c>
      <c r="N25" s="450">
        <v>0.2</v>
      </c>
      <c r="O25" s="451">
        <f t="shared" si="5"/>
        <v>-0.69</v>
      </c>
      <c r="P25" s="450">
        <f t="shared" si="9"/>
        <v>0.89</v>
      </c>
      <c r="Q25" s="452">
        <v>0.2</v>
      </c>
      <c r="R25" s="453">
        <f t="shared" si="6"/>
        <v>-0.69</v>
      </c>
      <c r="S25" s="410"/>
    </row>
    <row r="26" spans="1:19" s="455" customFormat="1" ht="14.25" customHeight="1" x14ac:dyDescent="0.25">
      <c r="A26" s="722" t="s">
        <v>42</v>
      </c>
      <c r="B26" s="725" t="s">
        <v>13</v>
      </c>
      <c r="C26" s="401" t="s">
        <v>25</v>
      </c>
      <c r="D26" s="430"/>
      <c r="E26" s="431"/>
      <c r="F26" s="432"/>
      <c r="G26" s="433">
        <v>1</v>
      </c>
      <c r="H26" s="434">
        <v>1</v>
      </c>
      <c r="I26" s="435">
        <f>H26-G26</f>
        <v>0</v>
      </c>
      <c r="J26" s="434">
        <v>1</v>
      </c>
      <c r="K26" s="434">
        <v>1</v>
      </c>
      <c r="L26" s="435">
        <f>K26-J26</f>
        <v>0</v>
      </c>
      <c r="M26" s="434">
        <v>1</v>
      </c>
      <c r="N26" s="434">
        <v>1</v>
      </c>
      <c r="O26" s="435">
        <f>N26-M26</f>
        <v>0</v>
      </c>
      <c r="P26" s="434">
        <v>1</v>
      </c>
      <c r="Q26" s="436">
        <v>1</v>
      </c>
      <c r="R26" s="437">
        <f>Q26-P26</f>
        <v>0</v>
      </c>
      <c r="S26" s="454"/>
    </row>
    <row r="27" spans="1:19" s="457" customFormat="1" x14ac:dyDescent="0.25">
      <c r="A27" s="723"/>
      <c r="B27" s="726"/>
      <c r="C27" s="412" t="s">
        <v>26</v>
      </c>
      <c r="D27" s="438"/>
      <c r="E27" s="439"/>
      <c r="F27" s="440"/>
      <c r="G27" s="441">
        <v>1</v>
      </c>
      <c r="H27" s="442">
        <v>1</v>
      </c>
      <c r="I27" s="443">
        <f t="shared" ref="I27:I44" si="11">H27-G27</f>
        <v>0</v>
      </c>
      <c r="J27" s="442">
        <v>1</v>
      </c>
      <c r="K27" s="442">
        <v>1</v>
      </c>
      <c r="L27" s="443">
        <f t="shared" ref="L27:L44" si="12">K27-J27</f>
        <v>0</v>
      </c>
      <c r="M27" s="442">
        <v>1</v>
      </c>
      <c r="N27" s="442">
        <v>1</v>
      </c>
      <c r="O27" s="443">
        <f t="shared" ref="O27:O44" si="13">N27-M27</f>
        <v>0</v>
      </c>
      <c r="P27" s="442">
        <v>1</v>
      </c>
      <c r="Q27" s="444">
        <v>1</v>
      </c>
      <c r="R27" s="445">
        <f t="shared" ref="R27:R54" si="14">Q27-P27</f>
        <v>0</v>
      </c>
      <c r="S27" s="456"/>
    </row>
    <row r="28" spans="1:19" s="457" customFormat="1" x14ac:dyDescent="0.25">
      <c r="A28" s="723"/>
      <c r="B28" s="726"/>
      <c r="C28" s="412" t="s">
        <v>27</v>
      </c>
      <c r="D28" s="438"/>
      <c r="E28" s="439"/>
      <c r="F28" s="440"/>
      <c r="G28" s="441">
        <v>1</v>
      </c>
      <c r="H28" s="442">
        <v>0.5</v>
      </c>
      <c r="I28" s="443">
        <f t="shared" si="11"/>
        <v>-0.5</v>
      </c>
      <c r="J28" s="442">
        <v>1</v>
      </c>
      <c r="K28" s="442">
        <v>0.5</v>
      </c>
      <c r="L28" s="443">
        <f t="shared" si="12"/>
        <v>-0.5</v>
      </c>
      <c r="M28" s="442">
        <v>1</v>
      </c>
      <c r="N28" s="442">
        <v>0.5</v>
      </c>
      <c r="O28" s="443">
        <f t="shared" si="13"/>
        <v>-0.5</v>
      </c>
      <c r="P28" s="442">
        <v>1</v>
      </c>
      <c r="Q28" s="444">
        <v>0.5</v>
      </c>
      <c r="R28" s="445">
        <f t="shared" si="14"/>
        <v>-0.5</v>
      </c>
      <c r="S28" s="456"/>
    </row>
    <row r="29" spans="1:19" s="457" customFormat="1" x14ac:dyDescent="0.25">
      <c r="A29" s="723"/>
      <c r="B29" s="726"/>
      <c r="C29" s="412" t="s">
        <v>28</v>
      </c>
      <c r="D29" s="438"/>
      <c r="E29" s="439"/>
      <c r="F29" s="440"/>
      <c r="G29" s="441">
        <v>1</v>
      </c>
      <c r="H29" s="442">
        <v>0.5</v>
      </c>
      <c r="I29" s="443">
        <f t="shared" si="11"/>
        <v>-0.5</v>
      </c>
      <c r="J29" s="442">
        <v>1</v>
      </c>
      <c r="K29" s="442">
        <v>0.5</v>
      </c>
      <c r="L29" s="443">
        <f t="shared" si="12"/>
        <v>-0.5</v>
      </c>
      <c r="M29" s="442">
        <v>1</v>
      </c>
      <c r="N29" s="442">
        <v>0.5</v>
      </c>
      <c r="O29" s="443">
        <f t="shared" si="13"/>
        <v>-0.5</v>
      </c>
      <c r="P29" s="442">
        <v>1</v>
      </c>
      <c r="Q29" s="444">
        <v>0.5</v>
      </c>
      <c r="R29" s="445">
        <f t="shared" si="14"/>
        <v>-0.5</v>
      </c>
      <c r="S29" s="456"/>
    </row>
    <row r="30" spans="1:19" s="457" customFormat="1" x14ac:dyDescent="0.25">
      <c r="A30" s="723"/>
      <c r="B30" s="726"/>
      <c r="C30" s="412" t="s">
        <v>29</v>
      </c>
      <c r="D30" s="438"/>
      <c r="E30" s="439"/>
      <c r="F30" s="440"/>
      <c r="G30" s="441">
        <v>1</v>
      </c>
      <c r="H30" s="442">
        <v>0.5</v>
      </c>
      <c r="I30" s="443">
        <f t="shared" si="11"/>
        <v>-0.5</v>
      </c>
      <c r="J30" s="442">
        <v>1</v>
      </c>
      <c r="K30" s="442">
        <v>0.5</v>
      </c>
      <c r="L30" s="443">
        <f t="shared" si="12"/>
        <v>-0.5</v>
      </c>
      <c r="M30" s="442">
        <v>1</v>
      </c>
      <c r="N30" s="442">
        <v>0.5</v>
      </c>
      <c r="O30" s="443">
        <f t="shared" si="13"/>
        <v>-0.5</v>
      </c>
      <c r="P30" s="442">
        <v>1</v>
      </c>
      <c r="Q30" s="444">
        <v>0.5</v>
      </c>
      <c r="R30" s="445">
        <f t="shared" si="14"/>
        <v>-0.5</v>
      </c>
      <c r="S30" s="456"/>
    </row>
    <row r="31" spans="1:19" s="457" customFormat="1" x14ac:dyDescent="0.25">
      <c r="A31" s="723"/>
      <c r="B31" s="726"/>
      <c r="C31" s="412" t="s">
        <v>30</v>
      </c>
      <c r="D31" s="438"/>
      <c r="E31" s="439"/>
      <c r="F31" s="440"/>
      <c r="G31" s="441">
        <v>1</v>
      </c>
      <c r="H31" s="442">
        <v>0.5</v>
      </c>
      <c r="I31" s="443">
        <f t="shared" si="11"/>
        <v>-0.5</v>
      </c>
      <c r="J31" s="442">
        <v>1</v>
      </c>
      <c r="K31" s="442">
        <v>0.5</v>
      </c>
      <c r="L31" s="443">
        <f t="shared" si="12"/>
        <v>-0.5</v>
      </c>
      <c r="M31" s="442">
        <v>1</v>
      </c>
      <c r="N31" s="442">
        <v>0.5</v>
      </c>
      <c r="O31" s="443">
        <f t="shared" si="13"/>
        <v>-0.5</v>
      </c>
      <c r="P31" s="442">
        <v>1</v>
      </c>
      <c r="Q31" s="444">
        <v>0.5</v>
      </c>
      <c r="R31" s="445">
        <f t="shared" si="14"/>
        <v>-0.5</v>
      </c>
      <c r="S31" s="456"/>
    </row>
    <row r="32" spans="1:19" s="457" customFormat="1" x14ac:dyDescent="0.25">
      <c r="A32" s="723"/>
      <c r="B32" s="726"/>
      <c r="C32" s="412" t="s">
        <v>31</v>
      </c>
      <c r="D32" s="438"/>
      <c r="E32" s="439"/>
      <c r="F32" s="440"/>
      <c r="G32" s="441">
        <v>1</v>
      </c>
      <c r="H32" s="442">
        <v>0.5</v>
      </c>
      <c r="I32" s="443">
        <f t="shared" si="11"/>
        <v>-0.5</v>
      </c>
      <c r="J32" s="442">
        <v>1</v>
      </c>
      <c r="K32" s="442">
        <v>0.5</v>
      </c>
      <c r="L32" s="443">
        <f t="shared" si="12"/>
        <v>-0.5</v>
      </c>
      <c r="M32" s="442">
        <v>1</v>
      </c>
      <c r="N32" s="442">
        <v>0.5</v>
      </c>
      <c r="O32" s="443">
        <f t="shared" si="13"/>
        <v>-0.5</v>
      </c>
      <c r="P32" s="442">
        <v>1</v>
      </c>
      <c r="Q32" s="444">
        <v>0.5</v>
      </c>
      <c r="R32" s="445">
        <f t="shared" si="14"/>
        <v>-0.5</v>
      </c>
      <c r="S32" s="456"/>
    </row>
    <row r="33" spans="1:19" s="457" customFormat="1" x14ac:dyDescent="0.25">
      <c r="A33" s="723"/>
      <c r="B33" s="726"/>
      <c r="C33" s="412" t="s">
        <v>32</v>
      </c>
      <c r="D33" s="438"/>
      <c r="E33" s="439"/>
      <c r="F33" s="440"/>
      <c r="G33" s="441">
        <v>1</v>
      </c>
      <c r="H33" s="442">
        <v>0.5</v>
      </c>
      <c r="I33" s="443">
        <f t="shared" si="11"/>
        <v>-0.5</v>
      </c>
      <c r="J33" s="442">
        <v>1</v>
      </c>
      <c r="K33" s="442">
        <v>0.5</v>
      </c>
      <c r="L33" s="443">
        <f t="shared" si="12"/>
        <v>-0.5</v>
      </c>
      <c r="M33" s="442">
        <v>1</v>
      </c>
      <c r="N33" s="442">
        <v>0.5</v>
      </c>
      <c r="O33" s="443">
        <f t="shared" si="13"/>
        <v>-0.5</v>
      </c>
      <c r="P33" s="442">
        <v>1</v>
      </c>
      <c r="Q33" s="444">
        <v>0.5</v>
      </c>
      <c r="R33" s="445">
        <f t="shared" si="14"/>
        <v>-0.5</v>
      </c>
      <c r="S33" s="456"/>
    </row>
    <row r="34" spans="1:19" s="457" customFormat="1" x14ac:dyDescent="0.25">
      <c r="A34" s="723"/>
      <c r="B34" s="726"/>
      <c r="C34" s="412" t="s">
        <v>33</v>
      </c>
      <c r="D34" s="438"/>
      <c r="E34" s="439"/>
      <c r="F34" s="440"/>
      <c r="G34" s="441">
        <v>1</v>
      </c>
      <c r="H34" s="442">
        <v>0.5</v>
      </c>
      <c r="I34" s="443">
        <f t="shared" si="11"/>
        <v>-0.5</v>
      </c>
      <c r="J34" s="442">
        <v>1</v>
      </c>
      <c r="K34" s="442">
        <v>0.5</v>
      </c>
      <c r="L34" s="443">
        <f t="shared" si="12"/>
        <v>-0.5</v>
      </c>
      <c r="M34" s="442">
        <v>1</v>
      </c>
      <c r="N34" s="442">
        <v>0.5</v>
      </c>
      <c r="O34" s="443">
        <f t="shared" si="13"/>
        <v>-0.5</v>
      </c>
      <c r="P34" s="442">
        <v>1</v>
      </c>
      <c r="Q34" s="444">
        <v>0.5</v>
      </c>
      <c r="R34" s="445">
        <f t="shared" si="14"/>
        <v>-0.5</v>
      </c>
      <c r="S34" s="456"/>
    </row>
    <row r="35" spans="1:19" s="457" customFormat="1" ht="15.75" thickBot="1" x14ac:dyDescent="0.3">
      <c r="A35" s="724"/>
      <c r="B35" s="727"/>
      <c r="C35" s="421" t="s">
        <v>34</v>
      </c>
      <c r="D35" s="446"/>
      <c r="E35" s="447"/>
      <c r="F35" s="448"/>
      <c r="G35" s="449">
        <v>1</v>
      </c>
      <c r="H35" s="450">
        <v>0.5</v>
      </c>
      <c r="I35" s="451">
        <f t="shared" si="11"/>
        <v>-0.5</v>
      </c>
      <c r="J35" s="450">
        <v>1</v>
      </c>
      <c r="K35" s="450">
        <v>0.5</v>
      </c>
      <c r="L35" s="451">
        <f t="shared" si="12"/>
        <v>-0.5</v>
      </c>
      <c r="M35" s="450">
        <v>1</v>
      </c>
      <c r="N35" s="450">
        <v>0.5</v>
      </c>
      <c r="O35" s="451">
        <f t="shared" si="13"/>
        <v>-0.5</v>
      </c>
      <c r="P35" s="450">
        <v>1</v>
      </c>
      <c r="Q35" s="452">
        <v>0.5</v>
      </c>
      <c r="R35" s="453">
        <f t="shared" si="14"/>
        <v>-0.5</v>
      </c>
      <c r="S35" s="456"/>
    </row>
    <row r="36" spans="1:19" s="455" customFormat="1" ht="14.45" customHeight="1" x14ac:dyDescent="0.25">
      <c r="A36" s="722" t="s">
        <v>203</v>
      </c>
      <c r="B36" s="725" t="s">
        <v>196</v>
      </c>
      <c r="C36" s="401" t="s">
        <v>25</v>
      </c>
      <c r="D36" s="430"/>
      <c r="E36" s="431"/>
      <c r="F36" s="432"/>
      <c r="G36" s="433">
        <v>0</v>
      </c>
      <c r="H36" s="434">
        <v>0</v>
      </c>
      <c r="I36" s="435">
        <f t="shared" si="11"/>
        <v>0</v>
      </c>
      <c r="J36" s="434">
        <v>0</v>
      </c>
      <c r="K36" s="434">
        <v>0</v>
      </c>
      <c r="L36" s="435">
        <f t="shared" si="12"/>
        <v>0</v>
      </c>
      <c r="M36" s="434">
        <v>0</v>
      </c>
      <c r="N36" s="434">
        <v>0</v>
      </c>
      <c r="O36" s="435">
        <f t="shared" si="13"/>
        <v>0</v>
      </c>
      <c r="P36" s="434">
        <v>5</v>
      </c>
      <c r="Q36" s="436">
        <v>5</v>
      </c>
      <c r="R36" s="437">
        <f t="shared" si="14"/>
        <v>0</v>
      </c>
      <c r="S36" s="454">
        <f>'Analyza citlivosti - AgendovéIS'!N7</f>
        <v>0</v>
      </c>
    </row>
    <row r="37" spans="1:19" s="457" customFormat="1" x14ac:dyDescent="0.25">
      <c r="A37" s="723"/>
      <c r="B37" s="726"/>
      <c r="C37" s="412" t="s">
        <v>26</v>
      </c>
      <c r="D37" s="438"/>
      <c r="E37" s="439"/>
      <c r="F37" s="440"/>
      <c r="G37" s="441">
        <v>0</v>
      </c>
      <c r="H37" s="442">
        <v>0</v>
      </c>
      <c r="I37" s="443">
        <f t="shared" si="11"/>
        <v>0</v>
      </c>
      <c r="J37" s="442">
        <v>0</v>
      </c>
      <c r="K37" s="442">
        <v>0</v>
      </c>
      <c r="L37" s="443">
        <f t="shared" si="12"/>
        <v>0</v>
      </c>
      <c r="M37" s="442">
        <v>0</v>
      </c>
      <c r="N37" s="442">
        <v>0</v>
      </c>
      <c r="O37" s="443">
        <f t="shared" si="13"/>
        <v>0</v>
      </c>
      <c r="P37" s="442">
        <v>5</v>
      </c>
      <c r="Q37" s="444">
        <v>5</v>
      </c>
      <c r="R37" s="445">
        <f t="shared" si="14"/>
        <v>0</v>
      </c>
      <c r="S37" s="456"/>
    </row>
    <row r="38" spans="1:19" s="457" customFormat="1" x14ac:dyDescent="0.25">
      <c r="A38" s="723"/>
      <c r="B38" s="726"/>
      <c r="C38" s="412" t="s">
        <v>27</v>
      </c>
      <c r="D38" s="438"/>
      <c r="E38" s="439"/>
      <c r="F38" s="440"/>
      <c r="G38" s="441">
        <v>0</v>
      </c>
      <c r="H38" s="442">
        <v>0</v>
      </c>
      <c r="I38" s="443">
        <f t="shared" si="11"/>
        <v>0</v>
      </c>
      <c r="J38" s="442">
        <v>0</v>
      </c>
      <c r="K38" s="442">
        <v>0</v>
      </c>
      <c r="L38" s="443">
        <f t="shared" si="12"/>
        <v>0</v>
      </c>
      <c r="M38" s="442">
        <v>0</v>
      </c>
      <c r="N38" s="442">
        <v>0</v>
      </c>
      <c r="O38" s="443">
        <f t="shared" si="13"/>
        <v>0</v>
      </c>
      <c r="P38" s="442">
        <v>5</v>
      </c>
      <c r="Q38" s="444">
        <v>2</v>
      </c>
      <c r="R38" s="445">
        <f t="shared" si="14"/>
        <v>-3</v>
      </c>
      <c r="S38" s="456"/>
    </row>
    <row r="39" spans="1:19" s="457" customFormat="1" x14ac:dyDescent="0.25">
      <c r="A39" s="723"/>
      <c r="B39" s="726"/>
      <c r="C39" s="412" t="s">
        <v>28</v>
      </c>
      <c r="D39" s="438"/>
      <c r="E39" s="439"/>
      <c r="F39" s="440"/>
      <c r="G39" s="441">
        <v>0</v>
      </c>
      <c r="H39" s="442">
        <v>0</v>
      </c>
      <c r="I39" s="443">
        <f t="shared" si="11"/>
        <v>0</v>
      </c>
      <c r="J39" s="442">
        <v>0</v>
      </c>
      <c r="K39" s="442">
        <v>0</v>
      </c>
      <c r="L39" s="443">
        <f t="shared" si="12"/>
        <v>0</v>
      </c>
      <c r="M39" s="442">
        <v>0</v>
      </c>
      <c r="N39" s="442">
        <v>0</v>
      </c>
      <c r="O39" s="443">
        <f t="shared" si="13"/>
        <v>0</v>
      </c>
      <c r="P39" s="442">
        <v>5</v>
      </c>
      <c r="Q39" s="444">
        <v>2</v>
      </c>
      <c r="R39" s="445">
        <f t="shared" si="14"/>
        <v>-3</v>
      </c>
      <c r="S39" s="456"/>
    </row>
    <row r="40" spans="1:19" s="457" customFormat="1" x14ac:dyDescent="0.25">
      <c r="A40" s="723"/>
      <c r="B40" s="726"/>
      <c r="C40" s="412" t="s">
        <v>29</v>
      </c>
      <c r="D40" s="438"/>
      <c r="E40" s="439"/>
      <c r="F40" s="440"/>
      <c r="G40" s="441">
        <v>0</v>
      </c>
      <c r="H40" s="442">
        <v>0</v>
      </c>
      <c r="I40" s="443">
        <f t="shared" si="11"/>
        <v>0</v>
      </c>
      <c r="J40" s="442">
        <v>0</v>
      </c>
      <c r="K40" s="442">
        <v>0</v>
      </c>
      <c r="L40" s="443">
        <f t="shared" si="12"/>
        <v>0</v>
      </c>
      <c r="M40" s="442">
        <v>0</v>
      </c>
      <c r="N40" s="442">
        <v>0</v>
      </c>
      <c r="O40" s="443">
        <f t="shared" si="13"/>
        <v>0</v>
      </c>
      <c r="P40" s="442">
        <v>5</v>
      </c>
      <c r="Q40" s="444">
        <v>2</v>
      </c>
      <c r="R40" s="445">
        <f t="shared" si="14"/>
        <v>-3</v>
      </c>
      <c r="S40" s="456"/>
    </row>
    <row r="41" spans="1:19" s="457" customFormat="1" x14ac:dyDescent="0.25">
      <c r="A41" s="723"/>
      <c r="B41" s="726"/>
      <c r="C41" s="412" t="s">
        <v>30</v>
      </c>
      <c r="D41" s="438"/>
      <c r="E41" s="439"/>
      <c r="F41" s="440"/>
      <c r="G41" s="441">
        <v>0</v>
      </c>
      <c r="H41" s="442">
        <v>0</v>
      </c>
      <c r="I41" s="443">
        <f t="shared" si="11"/>
        <v>0</v>
      </c>
      <c r="J41" s="442">
        <v>0</v>
      </c>
      <c r="K41" s="442">
        <v>0</v>
      </c>
      <c r="L41" s="443">
        <f t="shared" si="12"/>
        <v>0</v>
      </c>
      <c r="M41" s="442">
        <v>0</v>
      </c>
      <c r="N41" s="442">
        <v>0</v>
      </c>
      <c r="O41" s="443">
        <f t="shared" si="13"/>
        <v>0</v>
      </c>
      <c r="P41" s="442">
        <v>5</v>
      </c>
      <c r="Q41" s="444">
        <v>2</v>
      </c>
      <c r="R41" s="445">
        <f t="shared" si="14"/>
        <v>-3</v>
      </c>
      <c r="S41" s="456"/>
    </row>
    <row r="42" spans="1:19" s="457" customFormat="1" x14ac:dyDescent="0.25">
      <c r="A42" s="723"/>
      <c r="B42" s="726"/>
      <c r="C42" s="412" t="s">
        <v>31</v>
      </c>
      <c r="D42" s="438"/>
      <c r="E42" s="439"/>
      <c r="F42" s="440"/>
      <c r="G42" s="441">
        <v>0</v>
      </c>
      <c r="H42" s="442">
        <v>0</v>
      </c>
      <c r="I42" s="443">
        <f t="shared" si="11"/>
        <v>0</v>
      </c>
      <c r="J42" s="442">
        <v>0</v>
      </c>
      <c r="K42" s="442">
        <v>0</v>
      </c>
      <c r="L42" s="443">
        <f t="shared" si="12"/>
        <v>0</v>
      </c>
      <c r="M42" s="442">
        <v>0</v>
      </c>
      <c r="N42" s="442">
        <v>0</v>
      </c>
      <c r="O42" s="443">
        <f t="shared" si="13"/>
        <v>0</v>
      </c>
      <c r="P42" s="442">
        <v>5</v>
      </c>
      <c r="Q42" s="444">
        <v>2</v>
      </c>
      <c r="R42" s="445">
        <f t="shared" si="14"/>
        <v>-3</v>
      </c>
      <c r="S42" s="456"/>
    </row>
    <row r="43" spans="1:19" s="457" customFormat="1" x14ac:dyDescent="0.25">
      <c r="A43" s="723"/>
      <c r="B43" s="726"/>
      <c r="C43" s="412" t="s">
        <v>32</v>
      </c>
      <c r="D43" s="438"/>
      <c r="E43" s="439"/>
      <c r="F43" s="440"/>
      <c r="G43" s="441">
        <v>0</v>
      </c>
      <c r="H43" s="442">
        <v>0</v>
      </c>
      <c r="I43" s="443">
        <f t="shared" si="11"/>
        <v>0</v>
      </c>
      <c r="J43" s="442">
        <v>0</v>
      </c>
      <c r="K43" s="442">
        <v>0</v>
      </c>
      <c r="L43" s="443">
        <f t="shared" si="12"/>
        <v>0</v>
      </c>
      <c r="M43" s="442">
        <v>0</v>
      </c>
      <c r="N43" s="442">
        <v>0</v>
      </c>
      <c r="O43" s="443">
        <f t="shared" si="13"/>
        <v>0</v>
      </c>
      <c r="P43" s="442">
        <v>5</v>
      </c>
      <c r="Q43" s="444">
        <v>2</v>
      </c>
      <c r="R43" s="445">
        <f t="shared" si="14"/>
        <v>-3</v>
      </c>
      <c r="S43" s="456"/>
    </row>
    <row r="44" spans="1:19" s="457" customFormat="1" x14ac:dyDescent="0.25">
      <c r="A44" s="723"/>
      <c r="B44" s="726"/>
      <c r="C44" s="412" t="s">
        <v>33</v>
      </c>
      <c r="D44" s="438"/>
      <c r="E44" s="439"/>
      <c r="F44" s="440"/>
      <c r="G44" s="441">
        <v>0</v>
      </c>
      <c r="H44" s="442">
        <v>0</v>
      </c>
      <c r="I44" s="443">
        <f t="shared" si="11"/>
        <v>0</v>
      </c>
      <c r="J44" s="442">
        <v>0</v>
      </c>
      <c r="K44" s="442">
        <v>0</v>
      </c>
      <c r="L44" s="443">
        <f t="shared" si="12"/>
        <v>0</v>
      </c>
      <c r="M44" s="442">
        <v>0</v>
      </c>
      <c r="N44" s="442">
        <v>0</v>
      </c>
      <c r="O44" s="443">
        <f t="shared" si="13"/>
        <v>0</v>
      </c>
      <c r="P44" s="442">
        <v>5</v>
      </c>
      <c r="Q44" s="444">
        <v>2</v>
      </c>
      <c r="R44" s="445">
        <f t="shared" si="14"/>
        <v>-3</v>
      </c>
      <c r="S44" s="456"/>
    </row>
    <row r="45" spans="1:19" s="457" customFormat="1" ht="15.75" thickBot="1" x14ac:dyDescent="0.3">
      <c r="A45" s="724"/>
      <c r="B45" s="727"/>
      <c r="C45" s="421" t="s">
        <v>34</v>
      </c>
      <c r="D45" s="446"/>
      <c r="E45" s="447"/>
      <c r="F45" s="448"/>
      <c r="G45" s="449">
        <v>0</v>
      </c>
      <c r="H45" s="450">
        <v>0</v>
      </c>
      <c r="I45" s="451">
        <f>H45-G45</f>
        <v>0</v>
      </c>
      <c r="J45" s="450">
        <v>0</v>
      </c>
      <c r="K45" s="450">
        <v>0</v>
      </c>
      <c r="L45" s="451">
        <f>K45-J45</f>
        <v>0</v>
      </c>
      <c r="M45" s="450">
        <v>0</v>
      </c>
      <c r="N45" s="450">
        <v>0</v>
      </c>
      <c r="O45" s="451">
        <f>N45-M45</f>
        <v>0</v>
      </c>
      <c r="P45" s="450">
        <v>5</v>
      </c>
      <c r="Q45" s="452">
        <v>2</v>
      </c>
      <c r="R45" s="453">
        <f>Q45-P45</f>
        <v>-3</v>
      </c>
      <c r="S45" s="456"/>
    </row>
    <row r="46" spans="1:19" s="455" customFormat="1" ht="14.45" customHeight="1" x14ac:dyDescent="0.25">
      <c r="A46" s="722" t="s">
        <v>202</v>
      </c>
      <c r="B46" s="725" t="s">
        <v>38</v>
      </c>
      <c r="C46" s="401" t="s">
        <v>25</v>
      </c>
      <c r="D46" s="430">
        <f>SUM(G46,J46,M46,P46)</f>
        <v>1.4</v>
      </c>
      <c r="E46" s="431">
        <f>SUM(H46,K46,N46,Q46)</f>
        <v>1.4</v>
      </c>
      <c r="F46" s="432">
        <f>D46-E46</f>
        <v>0</v>
      </c>
      <c r="G46" s="433">
        <v>0.2</v>
      </c>
      <c r="H46" s="434">
        <v>0.2</v>
      </c>
      <c r="I46" s="435">
        <f t="shared" ref="I46:I54" si="15">H46-G46</f>
        <v>0</v>
      </c>
      <c r="J46" s="434">
        <v>0.6</v>
      </c>
      <c r="K46" s="434">
        <v>0.6</v>
      </c>
      <c r="L46" s="435">
        <f t="shared" ref="L46:L54" si="16">K46-J46</f>
        <v>0</v>
      </c>
      <c r="M46" s="434">
        <v>0.6</v>
      </c>
      <c r="N46" s="434">
        <v>0.6</v>
      </c>
      <c r="O46" s="435">
        <f t="shared" ref="O46:O54" si="17">N46-M46</f>
        <v>0</v>
      </c>
      <c r="P46" s="434">
        <v>0</v>
      </c>
      <c r="Q46" s="436">
        <v>0</v>
      </c>
      <c r="R46" s="437">
        <f t="shared" si="14"/>
        <v>0</v>
      </c>
      <c r="S46" s="454">
        <f>'Analyza citlivosti - AgendovéIS'!Q7</f>
        <v>0</v>
      </c>
    </row>
    <row r="47" spans="1:19" s="457" customFormat="1" x14ac:dyDescent="0.25">
      <c r="A47" s="723"/>
      <c r="B47" s="726"/>
      <c r="C47" s="412" t="s">
        <v>26</v>
      </c>
      <c r="D47" s="438">
        <f t="shared" ref="D47:D55" si="18">SUM(G47,J47,M47,P47)</f>
        <v>1.4</v>
      </c>
      <c r="E47" s="439">
        <f t="shared" ref="E47:E55" si="19">SUM(H47,K47,N47,Q47)</f>
        <v>1.4</v>
      </c>
      <c r="F47" s="440">
        <f t="shared" ref="F47:F55" si="20">D47-E47</f>
        <v>0</v>
      </c>
      <c r="G47" s="441">
        <v>0.2</v>
      </c>
      <c r="H47" s="442">
        <v>0.2</v>
      </c>
      <c r="I47" s="443">
        <f t="shared" si="15"/>
        <v>0</v>
      </c>
      <c r="J47" s="442">
        <v>0.6</v>
      </c>
      <c r="K47" s="442">
        <v>0.6</v>
      </c>
      <c r="L47" s="443">
        <f t="shared" si="16"/>
        <v>0</v>
      </c>
      <c r="M47" s="442">
        <v>0.6</v>
      </c>
      <c r="N47" s="442">
        <v>0.6</v>
      </c>
      <c r="O47" s="443">
        <f t="shared" si="17"/>
        <v>0</v>
      </c>
      <c r="P47" s="442">
        <v>0</v>
      </c>
      <c r="Q47" s="444">
        <v>0</v>
      </c>
      <c r="R47" s="445">
        <f t="shared" si="14"/>
        <v>0</v>
      </c>
      <c r="S47" s="456"/>
    </row>
    <row r="48" spans="1:19" s="457" customFormat="1" x14ac:dyDescent="0.25">
      <c r="A48" s="723"/>
      <c r="B48" s="726"/>
      <c r="C48" s="412" t="s">
        <v>27</v>
      </c>
      <c r="D48" s="438">
        <f t="shared" si="18"/>
        <v>1.4</v>
      </c>
      <c r="E48" s="439">
        <f t="shared" si="19"/>
        <v>0.30000000000000004</v>
      </c>
      <c r="F48" s="440">
        <f t="shared" si="20"/>
        <v>1.0999999999999999</v>
      </c>
      <c r="G48" s="441">
        <v>0.2</v>
      </c>
      <c r="H48" s="442">
        <v>0.1</v>
      </c>
      <c r="I48" s="443">
        <f t="shared" si="15"/>
        <v>-0.1</v>
      </c>
      <c r="J48" s="442">
        <v>0.6</v>
      </c>
      <c r="K48" s="442">
        <v>0.1</v>
      </c>
      <c r="L48" s="443">
        <f t="shared" si="16"/>
        <v>-0.5</v>
      </c>
      <c r="M48" s="442">
        <v>0.6</v>
      </c>
      <c r="N48" s="442">
        <v>0.1</v>
      </c>
      <c r="O48" s="443">
        <f t="shared" si="17"/>
        <v>-0.5</v>
      </c>
      <c r="P48" s="442">
        <v>0</v>
      </c>
      <c r="Q48" s="444">
        <v>0</v>
      </c>
      <c r="R48" s="445">
        <f t="shared" si="14"/>
        <v>0</v>
      </c>
      <c r="S48" s="456"/>
    </row>
    <row r="49" spans="1:19" s="457" customFormat="1" x14ac:dyDescent="0.25">
      <c r="A49" s="723"/>
      <c r="B49" s="726"/>
      <c r="C49" s="412" t="s">
        <v>28</v>
      </c>
      <c r="D49" s="438">
        <f t="shared" si="18"/>
        <v>1.4</v>
      </c>
      <c r="E49" s="439">
        <f t="shared" si="19"/>
        <v>0.30000000000000004</v>
      </c>
      <c r="F49" s="440">
        <f t="shared" si="20"/>
        <v>1.0999999999999999</v>
      </c>
      <c r="G49" s="441">
        <v>0.2</v>
      </c>
      <c r="H49" s="442">
        <v>0.1</v>
      </c>
      <c r="I49" s="443">
        <f t="shared" si="15"/>
        <v>-0.1</v>
      </c>
      <c r="J49" s="442">
        <v>0.6</v>
      </c>
      <c r="K49" s="442">
        <v>0.1</v>
      </c>
      <c r="L49" s="443">
        <f t="shared" si="16"/>
        <v>-0.5</v>
      </c>
      <c r="M49" s="442">
        <v>0.6</v>
      </c>
      <c r="N49" s="442">
        <v>0.1</v>
      </c>
      <c r="O49" s="443">
        <f t="shared" si="17"/>
        <v>-0.5</v>
      </c>
      <c r="P49" s="442">
        <v>0</v>
      </c>
      <c r="Q49" s="444">
        <v>0</v>
      </c>
      <c r="R49" s="445">
        <f t="shared" si="14"/>
        <v>0</v>
      </c>
      <c r="S49" s="456"/>
    </row>
    <row r="50" spans="1:19" s="457" customFormat="1" x14ac:dyDescent="0.25">
      <c r="A50" s="723"/>
      <c r="B50" s="726"/>
      <c r="C50" s="412" t="s">
        <v>29</v>
      </c>
      <c r="D50" s="438">
        <f t="shared" si="18"/>
        <v>1.4</v>
      </c>
      <c r="E50" s="439">
        <f t="shared" si="19"/>
        <v>0.30000000000000004</v>
      </c>
      <c r="F50" s="440">
        <f t="shared" si="20"/>
        <v>1.0999999999999999</v>
      </c>
      <c r="G50" s="441">
        <v>0.2</v>
      </c>
      <c r="H50" s="442">
        <v>0.1</v>
      </c>
      <c r="I50" s="443">
        <f t="shared" si="15"/>
        <v>-0.1</v>
      </c>
      <c r="J50" s="442">
        <v>0.6</v>
      </c>
      <c r="K50" s="442">
        <v>0.1</v>
      </c>
      <c r="L50" s="443">
        <f t="shared" si="16"/>
        <v>-0.5</v>
      </c>
      <c r="M50" s="442">
        <v>0.6</v>
      </c>
      <c r="N50" s="442">
        <v>0.1</v>
      </c>
      <c r="O50" s="443">
        <f t="shared" si="17"/>
        <v>-0.5</v>
      </c>
      <c r="P50" s="442">
        <v>0</v>
      </c>
      <c r="Q50" s="444">
        <v>0</v>
      </c>
      <c r="R50" s="445">
        <f t="shared" si="14"/>
        <v>0</v>
      </c>
      <c r="S50" s="456"/>
    </row>
    <row r="51" spans="1:19" s="457" customFormat="1" x14ac:dyDescent="0.25">
      <c r="A51" s="723"/>
      <c r="B51" s="726"/>
      <c r="C51" s="412" t="s">
        <v>30</v>
      </c>
      <c r="D51" s="438">
        <f t="shared" si="18"/>
        <v>1.4</v>
      </c>
      <c r="E51" s="439">
        <f t="shared" si="19"/>
        <v>0.30000000000000004</v>
      </c>
      <c r="F51" s="440">
        <f t="shared" si="20"/>
        <v>1.0999999999999999</v>
      </c>
      <c r="G51" s="441">
        <v>0.2</v>
      </c>
      <c r="H51" s="442">
        <v>0.1</v>
      </c>
      <c r="I51" s="443">
        <f t="shared" si="15"/>
        <v>-0.1</v>
      </c>
      <c r="J51" s="442">
        <v>0.6</v>
      </c>
      <c r="K51" s="442">
        <v>0.1</v>
      </c>
      <c r="L51" s="443">
        <f t="shared" si="16"/>
        <v>-0.5</v>
      </c>
      <c r="M51" s="442">
        <v>0.6</v>
      </c>
      <c r="N51" s="442">
        <v>0.1</v>
      </c>
      <c r="O51" s="443">
        <f t="shared" si="17"/>
        <v>-0.5</v>
      </c>
      <c r="P51" s="442">
        <v>0</v>
      </c>
      <c r="Q51" s="444">
        <v>0</v>
      </c>
      <c r="R51" s="445">
        <f t="shared" si="14"/>
        <v>0</v>
      </c>
      <c r="S51" s="456"/>
    </row>
    <row r="52" spans="1:19" s="457" customFormat="1" x14ac:dyDescent="0.25">
      <c r="A52" s="723"/>
      <c r="B52" s="726"/>
      <c r="C52" s="412" t="s">
        <v>31</v>
      </c>
      <c r="D52" s="438">
        <f t="shared" si="18"/>
        <v>1.4</v>
      </c>
      <c r="E52" s="439">
        <f t="shared" si="19"/>
        <v>0.30000000000000004</v>
      </c>
      <c r="F52" s="440">
        <f t="shared" si="20"/>
        <v>1.0999999999999999</v>
      </c>
      <c r="G52" s="441">
        <v>0.2</v>
      </c>
      <c r="H52" s="442">
        <v>0.1</v>
      </c>
      <c r="I52" s="443">
        <f t="shared" si="15"/>
        <v>-0.1</v>
      </c>
      <c r="J52" s="442">
        <v>0.6</v>
      </c>
      <c r="K52" s="442">
        <v>0.1</v>
      </c>
      <c r="L52" s="443">
        <f t="shared" si="16"/>
        <v>-0.5</v>
      </c>
      <c r="M52" s="442">
        <v>0.6</v>
      </c>
      <c r="N52" s="442">
        <v>0.1</v>
      </c>
      <c r="O52" s="443">
        <f t="shared" si="17"/>
        <v>-0.5</v>
      </c>
      <c r="P52" s="442">
        <v>0</v>
      </c>
      <c r="Q52" s="444">
        <v>0</v>
      </c>
      <c r="R52" s="445">
        <f t="shared" si="14"/>
        <v>0</v>
      </c>
      <c r="S52" s="456"/>
    </row>
    <row r="53" spans="1:19" s="457" customFormat="1" x14ac:dyDescent="0.25">
      <c r="A53" s="723"/>
      <c r="B53" s="726"/>
      <c r="C53" s="412" t="s">
        <v>32</v>
      </c>
      <c r="D53" s="438">
        <f t="shared" si="18"/>
        <v>1.4</v>
      </c>
      <c r="E53" s="439">
        <f t="shared" si="19"/>
        <v>0.30000000000000004</v>
      </c>
      <c r="F53" s="440">
        <f t="shared" si="20"/>
        <v>1.0999999999999999</v>
      </c>
      <c r="G53" s="441">
        <v>0.2</v>
      </c>
      <c r="H53" s="442">
        <v>0.1</v>
      </c>
      <c r="I53" s="443">
        <f t="shared" si="15"/>
        <v>-0.1</v>
      </c>
      <c r="J53" s="442">
        <v>0.6</v>
      </c>
      <c r="K53" s="442">
        <v>0.1</v>
      </c>
      <c r="L53" s="443">
        <f t="shared" si="16"/>
        <v>-0.5</v>
      </c>
      <c r="M53" s="442">
        <v>0.6</v>
      </c>
      <c r="N53" s="442">
        <v>0.1</v>
      </c>
      <c r="O53" s="443">
        <f t="shared" si="17"/>
        <v>-0.5</v>
      </c>
      <c r="P53" s="442">
        <v>0</v>
      </c>
      <c r="Q53" s="444">
        <v>0</v>
      </c>
      <c r="R53" s="445">
        <f t="shared" si="14"/>
        <v>0</v>
      </c>
      <c r="S53" s="456"/>
    </row>
    <row r="54" spans="1:19" s="457" customFormat="1" x14ac:dyDescent="0.25">
      <c r="A54" s="723"/>
      <c r="B54" s="726"/>
      <c r="C54" s="412" t="s">
        <v>33</v>
      </c>
      <c r="D54" s="438">
        <f t="shared" si="18"/>
        <v>1.4</v>
      </c>
      <c r="E54" s="439">
        <f t="shared" si="19"/>
        <v>0.30000000000000004</v>
      </c>
      <c r="F54" s="440">
        <f t="shared" si="20"/>
        <v>1.0999999999999999</v>
      </c>
      <c r="G54" s="441">
        <v>0.2</v>
      </c>
      <c r="H54" s="442">
        <v>0.1</v>
      </c>
      <c r="I54" s="443">
        <f t="shared" si="15"/>
        <v>-0.1</v>
      </c>
      <c r="J54" s="442">
        <v>0.6</v>
      </c>
      <c r="K54" s="442">
        <v>0.1</v>
      </c>
      <c r="L54" s="443">
        <f t="shared" si="16"/>
        <v>-0.5</v>
      </c>
      <c r="M54" s="442">
        <v>0.6</v>
      </c>
      <c r="N54" s="442">
        <v>0.1</v>
      </c>
      <c r="O54" s="443">
        <f t="shared" si="17"/>
        <v>-0.5</v>
      </c>
      <c r="P54" s="442">
        <v>0</v>
      </c>
      <c r="Q54" s="444">
        <v>0</v>
      </c>
      <c r="R54" s="445">
        <f t="shared" si="14"/>
        <v>0</v>
      </c>
      <c r="S54" s="456"/>
    </row>
    <row r="55" spans="1:19" s="457" customFormat="1" ht="15.75" thickBot="1" x14ac:dyDescent="0.3">
      <c r="A55" s="724"/>
      <c r="B55" s="727"/>
      <c r="C55" s="421" t="s">
        <v>34</v>
      </c>
      <c r="D55" s="446">
        <f t="shared" si="18"/>
        <v>1.4</v>
      </c>
      <c r="E55" s="447">
        <f t="shared" si="19"/>
        <v>0.30000000000000004</v>
      </c>
      <c r="F55" s="448">
        <f t="shared" si="20"/>
        <v>1.0999999999999999</v>
      </c>
      <c r="G55" s="449">
        <v>0.2</v>
      </c>
      <c r="H55" s="450">
        <v>0.1</v>
      </c>
      <c r="I55" s="451">
        <f>H55-G55</f>
        <v>-0.1</v>
      </c>
      <c r="J55" s="450">
        <v>0.6</v>
      </c>
      <c r="K55" s="450">
        <v>0.1</v>
      </c>
      <c r="L55" s="451">
        <f>K55-J55</f>
        <v>-0.5</v>
      </c>
      <c r="M55" s="450">
        <v>0.6</v>
      </c>
      <c r="N55" s="450">
        <v>0.1</v>
      </c>
      <c r="O55" s="451">
        <f>N55-M55</f>
        <v>-0.5</v>
      </c>
      <c r="P55" s="450">
        <v>0</v>
      </c>
      <c r="Q55" s="452">
        <v>0</v>
      </c>
      <c r="R55" s="453">
        <f>Q55-P55</f>
        <v>0</v>
      </c>
      <c r="S55" s="456"/>
    </row>
    <row r="56" spans="1:19" s="455" customFormat="1" ht="14.25" customHeight="1" x14ac:dyDescent="0.25">
      <c r="A56" s="723" t="s">
        <v>39</v>
      </c>
      <c r="B56" s="726" t="s">
        <v>13</v>
      </c>
      <c r="C56" s="412" t="s">
        <v>25</v>
      </c>
      <c r="D56" s="402">
        <f>G56+J56+M56+P56</f>
        <v>0</v>
      </c>
      <c r="E56" s="403">
        <f>H56+K56+N56+Q56</f>
        <v>0</v>
      </c>
      <c r="F56" s="404">
        <f>I56+L56+O56+R56</f>
        <v>0</v>
      </c>
      <c r="G56" s="405"/>
      <c r="H56" s="406"/>
      <c r="I56" s="407">
        <f t="shared" ref="I56:I65" si="21">H56-G56</f>
        <v>0</v>
      </c>
      <c r="J56" s="406"/>
      <c r="K56" s="406"/>
      <c r="L56" s="407">
        <f t="shared" ref="L56:L65" si="22">K56-J56</f>
        <v>0</v>
      </c>
      <c r="M56" s="406"/>
      <c r="N56" s="406"/>
      <c r="O56" s="407">
        <f t="shared" ref="O56:O65" si="23">N56-M56</f>
        <v>0</v>
      </c>
      <c r="P56" s="406"/>
      <c r="Q56" s="408"/>
      <c r="R56" s="409">
        <f t="shared" ref="R56:R65" si="24">Q56-P56</f>
        <v>0</v>
      </c>
      <c r="S56" s="454"/>
    </row>
    <row r="57" spans="1:19" s="457" customFormat="1" x14ac:dyDescent="0.25">
      <c r="A57" s="723"/>
      <c r="B57" s="726"/>
      <c r="C57" s="412" t="s">
        <v>26</v>
      </c>
      <c r="D57" s="413">
        <f t="shared" ref="D57:D65" si="25">G57+J57+M57+P57</f>
        <v>0</v>
      </c>
      <c r="E57" s="414">
        <f t="shared" ref="E57:E65" si="26">H57+K57+N57+Q57</f>
        <v>0</v>
      </c>
      <c r="F57" s="415">
        <f t="shared" ref="F57:F65" si="27">I57+L57+O57+R57</f>
        <v>0</v>
      </c>
      <c r="G57" s="416"/>
      <c r="H57" s="417"/>
      <c r="I57" s="418">
        <f t="shared" si="21"/>
        <v>0</v>
      </c>
      <c r="J57" s="417"/>
      <c r="K57" s="417"/>
      <c r="L57" s="418">
        <f t="shared" si="22"/>
        <v>0</v>
      </c>
      <c r="M57" s="417"/>
      <c r="N57" s="417"/>
      <c r="O57" s="418">
        <f t="shared" si="23"/>
        <v>0</v>
      </c>
      <c r="P57" s="417"/>
      <c r="Q57" s="419"/>
      <c r="R57" s="420">
        <f t="shared" si="24"/>
        <v>0</v>
      </c>
      <c r="S57" s="456"/>
    </row>
    <row r="58" spans="1:19" s="457" customFormat="1" x14ac:dyDescent="0.25">
      <c r="A58" s="723"/>
      <c r="B58" s="726"/>
      <c r="C58" s="412" t="s">
        <v>27</v>
      </c>
      <c r="D58" s="413">
        <f t="shared" si="25"/>
        <v>0</v>
      </c>
      <c r="E58" s="414">
        <f t="shared" si="26"/>
        <v>0</v>
      </c>
      <c r="F58" s="415">
        <f t="shared" si="27"/>
        <v>0</v>
      </c>
      <c r="G58" s="416"/>
      <c r="H58" s="417"/>
      <c r="I58" s="418">
        <f t="shared" si="21"/>
        <v>0</v>
      </c>
      <c r="J58" s="417"/>
      <c r="K58" s="417"/>
      <c r="L58" s="418">
        <f t="shared" si="22"/>
        <v>0</v>
      </c>
      <c r="M58" s="417"/>
      <c r="N58" s="417"/>
      <c r="O58" s="418">
        <f t="shared" si="23"/>
        <v>0</v>
      </c>
      <c r="P58" s="417"/>
      <c r="Q58" s="419"/>
      <c r="R58" s="420">
        <f t="shared" si="24"/>
        <v>0</v>
      </c>
      <c r="S58" s="456"/>
    </row>
    <row r="59" spans="1:19" s="457" customFormat="1" x14ac:dyDescent="0.25">
      <c r="A59" s="723"/>
      <c r="B59" s="726"/>
      <c r="C59" s="412" t="s">
        <v>28</v>
      </c>
      <c r="D59" s="413">
        <f t="shared" si="25"/>
        <v>0</v>
      </c>
      <c r="E59" s="414">
        <f t="shared" si="26"/>
        <v>0</v>
      </c>
      <c r="F59" s="415">
        <f t="shared" si="27"/>
        <v>0</v>
      </c>
      <c r="G59" s="416"/>
      <c r="H59" s="417"/>
      <c r="I59" s="418">
        <f t="shared" si="21"/>
        <v>0</v>
      </c>
      <c r="J59" s="417"/>
      <c r="K59" s="417"/>
      <c r="L59" s="418">
        <f t="shared" si="22"/>
        <v>0</v>
      </c>
      <c r="M59" s="417"/>
      <c r="N59" s="417"/>
      <c r="O59" s="418">
        <f t="shared" si="23"/>
        <v>0</v>
      </c>
      <c r="P59" s="417"/>
      <c r="Q59" s="419"/>
      <c r="R59" s="420">
        <f t="shared" si="24"/>
        <v>0</v>
      </c>
      <c r="S59" s="456"/>
    </row>
    <row r="60" spans="1:19" s="457" customFormat="1" x14ac:dyDescent="0.25">
      <c r="A60" s="723"/>
      <c r="B60" s="726"/>
      <c r="C60" s="412" t="s">
        <v>29</v>
      </c>
      <c r="D60" s="413">
        <f t="shared" si="25"/>
        <v>0</v>
      </c>
      <c r="E60" s="414">
        <f t="shared" si="26"/>
        <v>0</v>
      </c>
      <c r="F60" s="415">
        <f t="shared" si="27"/>
        <v>0</v>
      </c>
      <c r="G60" s="416"/>
      <c r="H60" s="417"/>
      <c r="I60" s="418">
        <f t="shared" si="21"/>
        <v>0</v>
      </c>
      <c r="J60" s="417"/>
      <c r="K60" s="417"/>
      <c r="L60" s="418">
        <f t="shared" si="22"/>
        <v>0</v>
      </c>
      <c r="M60" s="417"/>
      <c r="N60" s="417"/>
      <c r="O60" s="418">
        <f t="shared" si="23"/>
        <v>0</v>
      </c>
      <c r="P60" s="417"/>
      <c r="Q60" s="419"/>
      <c r="R60" s="420">
        <f t="shared" si="24"/>
        <v>0</v>
      </c>
      <c r="S60" s="456"/>
    </row>
    <row r="61" spans="1:19" s="457" customFormat="1" x14ac:dyDescent="0.25">
      <c r="A61" s="723"/>
      <c r="B61" s="726"/>
      <c r="C61" s="412" t="s">
        <v>30</v>
      </c>
      <c r="D61" s="413">
        <f t="shared" si="25"/>
        <v>0</v>
      </c>
      <c r="E61" s="414">
        <f t="shared" si="26"/>
        <v>0</v>
      </c>
      <c r="F61" s="415">
        <f t="shared" si="27"/>
        <v>0</v>
      </c>
      <c r="G61" s="416"/>
      <c r="H61" s="417"/>
      <c r="I61" s="418">
        <f t="shared" si="21"/>
        <v>0</v>
      </c>
      <c r="J61" s="417"/>
      <c r="K61" s="417"/>
      <c r="L61" s="418">
        <f t="shared" si="22"/>
        <v>0</v>
      </c>
      <c r="M61" s="417"/>
      <c r="N61" s="417"/>
      <c r="O61" s="418">
        <f t="shared" si="23"/>
        <v>0</v>
      </c>
      <c r="P61" s="417"/>
      <c r="Q61" s="419"/>
      <c r="R61" s="420">
        <f t="shared" si="24"/>
        <v>0</v>
      </c>
      <c r="S61" s="456"/>
    </row>
    <row r="62" spans="1:19" s="457" customFormat="1" x14ac:dyDescent="0.25">
      <c r="A62" s="723"/>
      <c r="B62" s="726"/>
      <c r="C62" s="412" t="s">
        <v>31</v>
      </c>
      <c r="D62" s="413">
        <f t="shared" si="25"/>
        <v>0</v>
      </c>
      <c r="E62" s="414">
        <f t="shared" si="26"/>
        <v>0</v>
      </c>
      <c r="F62" s="415">
        <f t="shared" si="27"/>
        <v>0</v>
      </c>
      <c r="G62" s="416"/>
      <c r="H62" s="417"/>
      <c r="I62" s="418">
        <f t="shared" si="21"/>
        <v>0</v>
      </c>
      <c r="J62" s="417"/>
      <c r="K62" s="417"/>
      <c r="L62" s="418">
        <f t="shared" si="22"/>
        <v>0</v>
      </c>
      <c r="M62" s="417"/>
      <c r="N62" s="417"/>
      <c r="O62" s="418">
        <f t="shared" si="23"/>
        <v>0</v>
      </c>
      <c r="P62" s="417"/>
      <c r="Q62" s="419"/>
      <c r="R62" s="420">
        <f t="shared" si="24"/>
        <v>0</v>
      </c>
      <c r="S62" s="456"/>
    </row>
    <row r="63" spans="1:19" s="457" customFormat="1" x14ac:dyDescent="0.25">
      <c r="A63" s="723"/>
      <c r="B63" s="726"/>
      <c r="C63" s="412" t="s">
        <v>32</v>
      </c>
      <c r="D63" s="413">
        <f t="shared" si="25"/>
        <v>0</v>
      </c>
      <c r="E63" s="414">
        <f t="shared" si="26"/>
        <v>0</v>
      </c>
      <c r="F63" s="415">
        <f t="shared" si="27"/>
        <v>0</v>
      </c>
      <c r="G63" s="416"/>
      <c r="H63" s="417"/>
      <c r="I63" s="418">
        <f t="shared" si="21"/>
        <v>0</v>
      </c>
      <c r="J63" s="417"/>
      <c r="K63" s="417"/>
      <c r="L63" s="418">
        <f t="shared" si="22"/>
        <v>0</v>
      </c>
      <c r="M63" s="417"/>
      <c r="N63" s="417"/>
      <c r="O63" s="418">
        <f t="shared" si="23"/>
        <v>0</v>
      </c>
      <c r="P63" s="417"/>
      <c r="Q63" s="419"/>
      <c r="R63" s="420">
        <f t="shared" si="24"/>
        <v>0</v>
      </c>
      <c r="S63" s="456"/>
    </row>
    <row r="64" spans="1:19" s="457" customFormat="1" x14ac:dyDescent="0.25">
      <c r="A64" s="723"/>
      <c r="B64" s="726"/>
      <c r="C64" s="412" t="s">
        <v>33</v>
      </c>
      <c r="D64" s="413">
        <f t="shared" si="25"/>
        <v>0</v>
      </c>
      <c r="E64" s="414">
        <f t="shared" si="26"/>
        <v>0</v>
      </c>
      <c r="F64" s="415">
        <f t="shared" si="27"/>
        <v>0</v>
      </c>
      <c r="G64" s="416"/>
      <c r="H64" s="417"/>
      <c r="I64" s="418">
        <f t="shared" si="21"/>
        <v>0</v>
      </c>
      <c r="J64" s="417"/>
      <c r="K64" s="417"/>
      <c r="L64" s="418">
        <f t="shared" si="22"/>
        <v>0</v>
      </c>
      <c r="M64" s="417"/>
      <c r="N64" s="417"/>
      <c r="O64" s="418">
        <f t="shared" si="23"/>
        <v>0</v>
      </c>
      <c r="P64" s="417"/>
      <c r="Q64" s="419"/>
      <c r="R64" s="420">
        <f t="shared" si="24"/>
        <v>0</v>
      </c>
      <c r="S64" s="456"/>
    </row>
    <row r="65" spans="1:19" s="459" customFormat="1" ht="15.75" thickBot="1" x14ac:dyDescent="0.3">
      <c r="A65" s="724"/>
      <c r="B65" s="727"/>
      <c r="C65" s="421" t="s">
        <v>34</v>
      </c>
      <c r="D65" s="422">
        <f t="shared" si="25"/>
        <v>0</v>
      </c>
      <c r="E65" s="423">
        <f t="shared" si="26"/>
        <v>0</v>
      </c>
      <c r="F65" s="424">
        <f t="shared" si="27"/>
        <v>0</v>
      </c>
      <c r="G65" s="425"/>
      <c r="H65" s="426"/>
      <c r="I65" s="427">
        <f t="shared" si="21"/>
        <v>0</v>
      </c>
      <c r="J65" s="426"/>
      <c r="K65" s="426"/>
      <c r="L65" s="427">
        <f t="shared" si="22"/>
        <v>0</v>
      </c>
      <c r="M65" s="426"/>
      <c r="N65" s="426"/>
      <c r="O65" s="427">
        <f t="shared" si="23"/>
        <v>0</v>
      </c>
      <c r="P65" s="426"/>
      <c r="Q65" s="428"/>
      <c r="R65" s="429">
        <f t="shared" si="24"/>
        <v>0</v>
      </c>
      <c r="S65" s="458"/>
    </row>
    <row r="66" spans="1:19" s="457" customFormat="1" ht="15.75" thickBot="1" x14ac:dyDescent="0.3">
      <c r="A66" s="460"/>
      <c r="B66" s="461"/>
      <c r="C66" s="462"/>
      <c r="D66" s="461"/>
      <c r="E66" s="461"/>
      <c r="F66" s="463" t="s">
        <v>105</v>
      </c>
      <c r="G66" s="464"/>
      <c r="H66" s="464"/>
      <c r="I66" s="465"/>
      <c r="J66" s="464"/>
      <c r="K66" s="464"/>
      <c r="L66" s="465"/>
      <c r="M66" s="464"/>
      <c r="N66" s="464"/>
      <c r="O66" s="465"/>
      <c r="P66" s="464"/>
      <c r="Q66" s="466"/>
      <c r="R66" s="467"/>
      <c r="S66" s="456"/>
    </row>
    <row r="67" spans="1:19" s="457" customFormat="1" x14ac:dyDescent="0.25">
      <c r="A67" s="740" t="s">
        <v>334</v>
      </c>
      <c r="B67" s="742" t="s">
        <v>37</v>
      </c>
      <c r="C67" s="468" t="s">
        <v>25</v>
      </c>
      <c r="D67" s="469">
        <f>G67+J67+M67+P67</f>
        <v>2201000</v>
      </c>
      <c r="E67" s="470">
        <f t="shared" ref="E67:F76" si="28">H67+K67+N67+Q67</f>
        <v>2201000</v>
      </c>
      <c r="F67" s="471">
        <f t="shared" si="28"/>
        <v>0</v>
      </c>
      <c r="G67" s="472">
        <f t="shared" ref="G67:G76" si="29">G6</f>
        <v>2000000</v>
      </c>
      <c r="H67" s="473">
        <f t="shared" ref="H67:H76" si="30">H6*(1+$S$67)</f>
        <v>2000000</v>
      </c>
      <c r="I67" s="474">
        <f>H67-G67</f>
        <v>0</v>
      </c>
      <c r="J67" s="473">
        <f t="shared" ref="J67:J76" si="31">J6</f>
        <v>200000</v>
      </c>
      <c r="K67" s="473">
        <f t="shared" ref="K67:K76" si="32">K6*(1+$S$67)</f>
        <v>200000</v>
      </c>
      <c r="L67" s="474">
        <f t="shared" ref="L67:L76" si="33">K67-J67</f>
        <v>0</v>
      </c>
      <c r="M67" s="473">
        <f t="shared" ref="M67:M76" si="34">M6</f>
        <v>0</v>
      </c>
      <c r="N67" s="473">
        <f t="shared" ref="N67:N76" si="35">N6*(1+$S$67)</f>
        <v>0</v>
      </c>
      <c r="O67" s="474">
        <f t="shared" ref="O67:O76" si="36">N67-M67</f>
        <v>0</v>
      </c>
      <c r="P67" s="473">
        <f t="shared" ref="P67:P76" si="37">P6</f>
        <v>1000</v>
      </c>
      <c r="Q67" s="475">
        <f t="shared" ref="Q67:Q76" si="38">Q6*(1+$S$67)</f>
        <v>1000</v>
      </c>
      <c r="R67" s="476">
        <f t="shared" ref="R67:R76" si="39">Q67-P67</f>
        <v>0</v>
      </c>
      <c r="S67" s="477">
        <f>'Analyza citlivosti - AgendovéIS'!K7</f>
        <v>0</v>
      </c>
    </row>
    <row r="68" spans="1:19" s="457" customFormat="1" x14ac:dyDescent="0.25">
      <c r="A68" s="740"/>
      <c r="B68" s="742"/>
      <c r="C68" s="468" t="s">
        <v>26</v>
      </c>
      <c r="D68" s="469">
        <f t="shared" ref="D68:D76" si="40">G68+J68+M68+P68</f>
        <v>2751200</v>
      </c>
      <c r="E68" s="470">
        <f t="shared" si="28"/>
        <v>3081200</v>
      </c>
      <c r="F68" s="471">
        <f t="shared" si="28"/>
        <v>330000</v>
      </c>
      <c r="G68" s="478">
        <f t="shared" si="29"/>
        <v>2500000</v>
      </c>
      <c r="H68" s="479">
        <f t="shared" si="30"/>
        <v>2800000</v>
      </c>
      <c r="I68" s="418">
        <f t="shared" ref="I68:I76" si="41">H68-G68</f>
        <v>300000</v>
      </c>
      <c r="J68" s="479">
        <f t="shared" si="31"/>
        <v>250000</v>
      </c>
      <c r="K68" s="479">
        <f t="shared" si="32"/>
        <v>280000</v>
      </c>
      <c r="L68" s="418">
        <f t="shared" si="33"/>
        <v>30000</v>
      </c>
      <c r="M68" s="479">
        <f t="shared" si="34"/>
        <v>0</v>
      </c>
      <c r="N68" s="479">
        <f t="shared" si="35"/>
        <v>0</v>
      </c>
      <c r="O68" s="418">
        <f t="shared" si="36"/>
        <v>0</v>
      </c>
      <c r="P68" s="479">
        <f t="shared" si="37"/>
        <v>1200</v>
      </c>
      <c r="Q68" s="480">
        <f t="shared" si="38"/>
        <v>1200</v>
      </c>
      <c r="R68" s="420">
        <f t="shared" si="39"/>
        <v>0</v>
      </c>
      <c r="S68" s="456"/>
    </row>
    <row r="69" spans="1:19" s="457" customFormat="1" x14ac:dyDescent="0.25">
      <c r="A69" s="740"/>
      <c r="B69" s="742"/>
      <c r="C69" s="468" t="s">
        <v>27</v>
      </c>
      <c r="D69" s="469">
        <f t="shared" si="40"/>
        <v>3301200</v>
      </c>
      <c r="E69" s="470">
        <f t="shared" si="28"/>
        <v>4256200</v>
      </c>
      <c r="F69" s="471">
        <f t="shared" si="28"/>
        <v>955000</v>
      </c>
      <c r="G69" s="478">
        <f t="shared" si="29"/>
        <v>3000000</v>
      </c>
      <c r="H69" s="479">
        <f t="shared" si="30"/>
        <v>3700000</v>
      </c>
      <c r="I69" s="418">
        <f t="shared" si="41"/>
        <v>700000</v>
      </c>
      <c r="J69" s="479">
        <f t="shared" si="31"/>
        <v>300000</v>
      </c>
      <c r="K69" s="479">
        <f t="shared" si="32"/>
        <v>370000</v>
      </c>
      <c r="L69" s="418">
        <f t="shared" si="33"/>
        <v>70000</v>
      </c>
      <c r="M69" s="479">
        <f t="shared" si="34"/>
        <v>0</v>
      </c>
      <c r="N69" s="479">
        <f t="shared" si="35"/>
        <v>185000</v>
      </c>
      <c r="O69" s="418">
        <f t="shared" si="36"/>
        <v>185000</v>
      </c>
      <c r="P69" s="479">
        <f t="shared" si="37"/>
        <v>1200</v>
      </c>
      <c r="Q69" s="480">
        <f t="shared" si="38"/>
        <v>1200</v>
      </c>
      <c r="R69" s="420">
        <f t="shared" si="39"/>
        <v>0</v>
      </c>
      <c r="S69" s="456"/>
    </row>
    <row r="70" spans="1:19" s="457" customFormat="1" x14ac:dyDescent="0.25">
      <c r="A70" s="740"/>
      <c r="B70" s="742"/>
      <c r="C70" s="468" t="s">
        <v>28</v>
      </c>
      <c r="D70" s="469">
        <f t="shared" si="40"/>
        <v>3850900</v>
      </c>
      <c r="E70" s="470">
        <f t="shared" si="28"/>
        <v>5568900</v>
      </c>
      <c r="F70" s="471">
        <f t="shared" si="28"/>
        <v>1718000</v>
      </c>
      <c r="G70" s="478">
        <f t="shared" si="29"/>
        <v>3500000</v>
      </c>
      <c r="H70" s="479">
        <f t="shared" si="30"/>
        <v>4800000</v>
      </c>
      <c r="I70" s="418">
        <f t="shared" si="41"/>
        <v>1300000</v>
      </c>
      <c r="J70" s="479">
        <f t="shared" si="31"/>
        <v>350000</v>
      </c>
      <c r="K70" s="479">
        <f t="shared" si="32"/>
        <v>480000</v>
      </c>
      <c r="L70" s="418">
        <f t="shared" si="33"/>
        <v>130000</v>
      </c>
      <c r="M70" s="479">
        <f t="shared" si="34"/>
        <v>0</v>
      </c>
      <c r="N70" s="479">
        <f t="shared" si="35"/>
        <v>288000</v>
      </c>
      <c r="O70" s="418">
        <f t="shared" si="36"/>
        <v>288000</v>
      </c>
      <c r="P70" s="479">
        <f t="shared" si="37"/>
        <v>900</v>
      </c>
      <c r="Q70" s="480">
        <f t="shared" si="38"/>
        <v>900</v>
      </c>
      <c r="R70" s="420">
        <f t="shared" si="39"/>
        <v>0</v>
      </c>
      <c r="S70" s="456"/>
    </row>
    <row r="71" spans="1:19" s="457" customFormat="1" x14ac:dyDescent="0.25">
      <c r="A71" s="740"/>
      <c r="B71" s="742"/>
      <c r="C71" s="468" t="s">
        <v>29</v>
      </c>
      <c r="D71" s="469">
        <f t="shared" si="40"/>
        <v>4400600</v>
      </c>
      <c r="E71" s="470">
        <f t="shared" si="28"/>
        <v>6962100</v>
      </c>
      <c r="F71" s="471">
        <f t="shared" si="28"/>
        <v>2561500</v>
      </c>
      <c r="G71" s="478">
        <f t="shared" si="29"/>
        <v>4000000</v>
      </c>
      <c r="H71" s="479">
        <f t="shared" si="30"/>
        <v>5950000</v>
      </c>
      <c r="I71" s="418">
        <f t="shared" si="41"/>
        <v>1950000</v>
      </c>
      <c r="J71" s="479">
        <f t="shared" si="31"/>
        <v>400000</v>
      </c>
      <c r="K71" s="479">
        <f t="shared" si="32"/>
        <v>595000</v>
      </c>
      <c r="L71" s="418">
        <f t="shared" si="33"/>
        <v>195000</v>
      </c>
      <c r="M71" s="479">
        <f t="shared" si="34"/>
        <v>0</v>
      </c>
      <c r="N71" s="479">
        <f t="shared" si="35"/>
        <v>416500.00000000006</v>
      </c>
      <c r="O71" s="418">
        <f t="shared" si="36"/>
        <v>416500.00000000006</v>
      </c>
      <c r="P71" s="479">
        <f t="shared" si="37"/>
        <v>600</v>
      </c>
      <c r="Q71" s="480">
        <f t="shared" si="38"/>
        <v>600</v>
      </c>
      <c r="R71" s="420">
        <f t="shared" si="39"/>
        <v>0</v>
      </c>
      <c r="S71" s="456"/>
    </row>
    <row r="72" spans="1:19" s="457" customFormat="1" x14ac:dyDescent="0.25">
      <c r="A72" s="740"/>
      <c r="B72" s="742"/>
      <c r="C72" s="468" t="s">
        <v>30</v>
      </c>
      <c r="D72" s="469">
        <f t="shared" si="40"/>
        <v>4950500</v>
      </c>
      <c r="E72" s="470">
        <f t="shared" si="28"/>
        <v>8496500</v>
      </c>
      <c r="F72" s="471">
        <f t="shared" si="28"/>
        <v>3546000</v>
      </c>
      <c r="G72" s="478">
        <f t="shared" si="29"/>
        <v>4500000</v>
      </c>
      <c r="H72" s="479">
        <f t="shared" si="30"/>
        <v>7200000</v>
      </c>
      <c r="I72" s="418">
        <f t="shared" si="41"/>
        <v>2700000</v>
      </c>
      <c r="J72" s="479">
        <f t="shared" si="31"/>
        <v>450000</v>
      </c>
      <c r="K72" s="479">
        <f t="shared" si="32"/>
        <v>720000</v>
      </c>
      <c r="L72" s="418">
        <f t="shared" si="33"/>
        <v>270000</v>
      </c>
      <c r="M72" s="479">
        <f t="shared" si="34"/>
        <v>0</v>
      </c>
      <c r="N72" s="479">
        <f t="shared" si="35"/>
        <v>576000</v>
      </c>
      <c r="O72" s="418">
        <f t="shared" si="36"/>
        <v>576000</v>
      </c>
      <c r="P72" s="479">
        <f t="shared" si="37"/>
        <v>500</v>
      </c>
      <c r="Q72" s="480">
        <f t="shared" si="38"/>
        <v>500</v>
      </c>
      <c r="R72" s="420">
        <f t="shared" si="39"/>
        <v>0</v>
      </c>
      <c r="S72" s="456"/>
    </row>
    <row r="73" spans="1:19" s="457" customFormat="1" x14ac:dyDescent="0.25">
      <c r="A73" s="740"/>
      <c r="B73" s="742"/>
      <c r="C73" s="468" t="s">
        <v>31</v>
      </c>
      <c r="D73" s="469">
        <f t="shared" si="40"/>
        <v>5500400</v>
      </c>
      <c r="E73" s="470">
        <f t="shared" si="28"/>
        <v>10055900</v>
      </c>
      <c r="F73" s="471">
        <f t="shared" si="28"/>
        <v>4555500</v>
      </c>
      <c r="G73" s="478">
        <f t="shared" si="29"/>
        <v>5000000</v>
      </c>
      <c r="H73" s="479">
        <f t="shared" si="30"/>
        <v>8450000</v>
      </c>
      <c r="I73" s="418">
        <f t="shared" si="41"/>
        <v>3450000</v>
      </c>
      <c r="J73" s="479">
        <f t="shared" si="31"/>
        <v>500000</v>
      </c>
      <c r="K73" s="479">
        <f t="shared" si="32"/>
        <v>845000</v>
      </c>
      <c r="L73" s="418">
        <f t="shared" si="33"/>
        <v>345000</v>
      </c>
      <c r="M73" s="479">
        <f t="shared" si="34"/>
        <v>0</v>
      </c>
      <c r="N73" s="479">
        <f t="shared" si="35"/>
        <v>760500</v>
      </c>
      <c r="O73" s="418">
        <f t="shared" si="36"/>
        <v>760500</v>
      </c>
      <c r="P73" s="479">
        <f t="shared" si="37"/>
        <v>400</v>
      </c>
      <c r="Q73" s="480">
        <f t="shared" si="38"/>
        <v>400</v>
      </c>
      <c r="R73" s="420">
        <f t="shared" si="39"/>
        <v>0</v>
      </c>
      <c r="S73" s="456"/>
    </row>
    <row r="74" spans="1:19" s="457" customFormat="1" x14ac:dyDescent="0.25">
      <c r="A74" s="740"/>
      <c r="B74" s="742"/>
      <c r="C74" s="468" t="s">
        <v>32</v>
      </c>
      <c r="D74" s="469">
        <f t="shared" si="40"/>
        <v>5830400</v>
      </c>
      <c r="E74" s="470">
        <f t="shared" si="28"/>
        <v>11520400</v>
      </c>
      <c r="F74" s="471">
        <f t="shared" si="28"/>
        <v>5690000</v>
      </c>
      <c r="G74" s="478">
        <f t="shared" si="29"/>
        <v>5300000</v>
      </c>
      <c r="H74" s="479">
        <f t="shared" si="30"/>
        <v>9600000</v>
      </c>
      <c r="I74" s="418">
        <f t="shared" si="41"/>
        <v>4300000</v>
      </c>
      <c r="J74" s="479">
        <f t="shared" si="31"/>
        <v>530000</v>
      </c>
      <c r="K74" s="479">
        <f t="shared" si="32"/>
        <v>960000</v>
      </c>
      <c r="L74" s="418">
        <f t="shared" si="33"/>
        <v>430000</v>
      </c>
      <c r="M74" s="479">
        <f t="shared" si="34"/>
        <v>0</v>
      </c>
      <c r="N74" s="479">
        <f t="shared" si="35"/>
        <v>960000</v>
      </c>
      <c r="O74" s="418">
        <f t="shared" si="36"/>
        <v>960000</v>
      </c>
      <c r="P74" s="479">
        <f t="shared" si="37"/>
        <v>400</v>
      </c>
      <c r="Q74" s="480">
        <f t="shared" si="38"/>
        <v>400</v>
      </c>
      <c r="R74" s="420">
        <f t="shared" si="39"/>
        <v>0</v>
      </c>
      <c r="S74" s="456"/>
    </row>
    <row r="75" spans="1:19" s="457" customFormat="1" x14ac:dyDescent="0.25">
      <c r="A75" s="740"/>
      <c r="B75" s="742"/>
      <c r="C75" s="468" t="s">
        <v>33</v>
      </c>
      <c r="D75" s="469">
        <f t="shared" si="40"/>
        <v>6160400</v>
      </c>
      <c r="E75" s="470">
        <f t="shared" si="28"/>
        <v>13375400</v>
      </c>
      <c r="F75" s="471">
        <f t="shared" si="28"/>
        <v>7215000</v>
      </c>
      <c r="G75" s="478">
        <f t="shared" si="29"/>
        <v>5600000</v>
      </c>
      <c r="H75" s="479">
        <f t="shared" si="30"/>
        <v>10700000</v>
      </c>
      <c r="I75" s="418">
        <f t="shared" si="41"/>
        <v>5100000</v>
      </c>
      <c r="J75" s="479">
        <f t="shared" si="31"/>
        <v>560000</v>
      </c>
      <c r="K75" s="479">
        <f t="shared" si="32"/>
        <v>1070000</v>
      </c>
      <c r="L75" s="418">
        <f t="shared" si="33"/>
        <v>510000</v>
      </c>
      <c r="M75" s="479">
        <f t="shared" si="34"/>
        <v>0</v>
      </c>
      <c r="N75" s="479">
        <f t="shared" si="35"/>
        <v>1605000</v>
      </c>
      <c r="O75" s="418">
        <f t="shared" si="36"/>
        <v>1605000</v>
      </c>
      <c r="P75" s="479">
        <f t="shared" si="37"/>
        <v>400</v>
      </c>
      <c r="Q75" s="480">
        <f t="shared" si="38"/>
        <v>400</v>
      </c>
      <c r="R75" s="420">
        <f t="shared" si="39"/>
        <v>0</v>
      </c>
      <c r="S75" s="456"/>
    </row>
    <row r="76" spans="1:19" s="457" customFormat="1" ht="15.75" thickBot="1" x14ac:dyDescent="0.3">
      <c r="A76" s="741"/>
      <c r="B76" s="743"/>
      <c r="C76" s="481" t="s">
        <v>34</v>
      </c>
      <c r="D76" s="482">
        <f t="shared" si="40"/>
        <v>6380400</v>
      </c>
      <c r="E76" s="483">
        <f t="shared" si="28"/>
        <v>12610400</v>
      </c>
      <c r="F76" s="484">
        <f t="shared" si="28"/>
        <v>6230000</v>
      </c>
      <c r="G76" s="485">
        <f t="shared" si="29"/>
        <v>5800000</v>
      </c>
      <c r="H76" s="486">
        <f t="shared" si="30"/>
        <v>9700000</v>
      </c>
      <c r="I76" s="427">
        <f t="shared" si="41"/>
        <v>3900000</v>
      </c>
      <c r="J76" s="486">
        <f t="shared" si="31"/>
        <v>580000</v>
      </c>
      <c r="K76" s="486">
        <f t="shared" si="32"/>
        <v>970000</v>
      </c>
      <c r="L76" s="427">
        <f t="shared" si="33"/>
        <v>390000</v>
      </c>
      <c r="M76" s="486">
        <f t="shared" si="34"/>
        <v>0</v>
      </c>
      <c r="N76" s="486">
        <f t="shared" si="35"/>
        <v>1940000</v>
      </c>
      <c r="O76" s="427">
        <f t="shared" si="36"/>
        <v>1940000</v>
      </c>
      <c r="P76" s="486">
        <f t="shared" si="37"/>
        <v>400</v>
      </c>
      <c r="Q76" s="487">
        <f t="shared" si="38"/>
        <v>400</v>
      </c>
      <c r="R76" s="429">
        <f t="shared" si="39"/>
        <v>0</v>
      </c>
      <c r="S76" s="456"/>
    </row>
    <row r="77" spans="1:19" x14ac:dyDescent="0.25">
      <c r="A77" s="740" t="s">
        <v>198</v>
      </c>
      <c r="B77" s="742" t="s">
        <v>13</v>
      </c>
      <c r="C77" s="468" t="s">
        <v>25</v>
      </c>
      <c r="D77" s="469">
        <f>G77+J77+M77+P77</f>
        <v>56897.961685823757</v>
      </c>
      <c r="E77" s="470">
        <f>H77+K77+N77+Q77</f>
        <v>56897.961685823757</v>
      </c>
      <c r="F77" s="471">
        <f>I77+L77+O77+R77</f>
        <v>0</v>
      </c>
      <c r="G77" s="488">
        <f>G6*G36*Faktory!$D$8</f>
        <v>0</v>
      </c>
      <c r="H77" s="489">
        <f>((H67*G36)-(H67*((G36-H36)*(1+$S$36))))*Faktory!$D$8</f>
        <v>0</v>
      </c>
      <c r="I77" s="407">
        <f>H77-G77</f>
        <v>0</v>
      </c>
      <c r="J77" s="489">
        <f>J6*J36*Faktory!$D$8</f>
        <v>0</v>
      </c>
      <c r="K77" s="489">
        <f>((K67*J36)-(K67*((J36-K36)*(1+$S$36))))*Faktory!$D$8</f>
        <v>0</v>
      </c>
      <c r="L77" s="407">
        <f>K77-J77</f>
        <v>0</v>
      </c>
      <c r="M77" s="489">
        <f>M6*M36*Faktory!$D$8</f>
        <v>0</v>
      </c>
      <c r="N77" s="489">
        <f>((N67*M36)-(N67*((M36-N36)*(1+$S$36))))*Faktory!$D$8</f>
        <v>0</v>
      </c>
      <c r="O77" s="407">
        <f>N77-M77</f>
        <v>0</v>
      </c>
      <c r="P77" s="489">
        <f>P6*P36*Faktory!$D$8</f>
        <v>56897.961685823757</v>
      </c>
      <c r="Q77" s="490">
        <f>((Q67*P36)-(Q67*((P36-Q36)*(1+$S$36))))*Faktory!$D$8</f>
        <v>56897.961685823757</v>
      </c>
      <c r="R77" s="491">
        <f>Q77-P77</f>
        <v>0</v>
      </c>
    </row>
    <row r="78" spans="1:19" x14ac:dyDescent="0.25">
      <c r="A78" s="740"/>
      <c r="B78" s="742"/>
      <c r="C78" s="468" t="s">
        <v>26</v>
      </c>
      <c r="D78" s="469">
        <f t="shared" ref="D78:D96" si="42">G78+J78+M78+P78</f>
        <v>68277.554022988508</v>
      </c>
      <c r="E78" s="470">
        <f t="shared" ref="E78:E96" si="43">H78+K78+N78+Q78</f>
        <v>68277.554022988508</v>
      </c>
      <c r="F78" s="471">
        <f t="shared" ref="F78:F96" si="44">I78+L78+O78+R78</f>
        <v>0</v>
      </c>
      <c r="G78" s="478">
        <f>G7*G37*Faktory!$D$8</f>
        <v>0</v>
      </c>
      <c r="H78" s="479">
        <f>((H68*G37)-(H68*((G37-H37)*(1+$S$36))))*Faktory!$D$8</f>
        <v>0</v>
      </c>
      <c r="I78" s="418">
        <f t="shared" ref="I78:I96" si="45">H78-G78</f>
        <v>0</v>
      </c>
      <c r="J78" s="479">
        <f>J7*J37*Faktory!$D$8</f>
        <v>0</v>
      </c>
      <c r="K78" s="479">
        <f>((K68*J37)-(K68*((J37-K37)*(1+$S$36))))*Faktory!$D$8</f>
        <v>0</v>
      </c>
      <c r="L78" s="418">
        <f t="shared" ref="L78:L96" si="46">K78-J78</f>
        <v>0</v>
      </c>
      <c r="M78" s="479">
        <f>M7*M37*Faktory!$D$8</f>
        <v>0</v>
      </c>
      <c r="N78" s="479">
        <f>((N68*M37)-(N68*((M37-N37)*(1+$S$36))))*Faktory!$D$8</f>
        <v>0</v>
      </c>
      <c r="O78" s="418">
        <f t="shared" ref="O78:O96" si="47">N78-M78</f>
        <v>0</v>
      </c>
      <c r="P78" s="479">
        <f>P7*P37*Faktory!$D$8</f>
        <v>68277.554022988508</v>
      </c>
      <c r="Q78" s="480">
        <f>((Q68*P37)-(Q68*((P37-Q37)*(1+$S$36))))*Faktory!$D$8</f>
        <v>68277.554022988508</v>
      </c>
      <c r="R78" s="420">
        <f t="shared" ref="R78:R96" si="48">Q78-P78</f>
        <v>0</v>
      </c>
    </row>
    <row r="79" spans="1:19" x14ac:dyDescent="0.25">
      <c r="A79" s="740"/>
      <c r="B79" s="742"/>
      <c r="C79" s="468" t="s">
        <v>27</v>
      </c>
      <c r="D79" s="469">
        <f t="shared" si="42"/>
        <v>68277.554022988508</v>
      </c>
      <c r="E79" s="470">
        <f t="shared" si="43"/>
        <v>27311.021609195406</v>
      </c>
      <c r="F79" s="471">
        <f t="shared" si="44"/>
        <v>-40966.532413793102</v>
      </c>
      <c r="G79" s="478">
        <f>G8*G38*Faktory!$D$8</f>
        <v>0</v>
      </c>
      <c r="H79" s="479">
        <f>((H69*G38)-(H69*((G38-H38)*(1+$S$36))))*Faktory!$D$8</f>
        <v>0</v>
      </c>
      <c r="I79" s="418">
        <f t="shared" si="45"/>
        <v>0</v>
      </c>
      <c r="J79" s="479">
        <f>J8*J38*Faktory!$D$8</f>
        <v>0</v>
      </c>
      <c r="K79" s="479">
        <f>((K69*J38)-(K69*((J38-K38)*(1+$S$36))))*Faktory!$D$8</f>
        <v>0</v>
      </c>
      <c r="L79" s="418">
        <f t="shared" si="46"/>
        <v>0</v>
      </c>
      <c r="M79" s="479">
        <f>M8*M38*Faktory!$D$8</f>
        <v>0</v>
      </c>
      <c r="N79" s="479">
        <f>((N69*M38)-(N69*((M38-N38)*(1+$S$36))))*Faktory!$D$8</f>
        <v>0</v>
      </c>
      <c r="O79" s="418">
        <f t="shared" si="47"/>
        <v>0</v>
      </c>
      <c r="P79" s="479">
        <f>P8*P38*Faktory!$D$8</f>
        <v>68277.554022988508</v>
      </c>
      <c r="Q79" s="480">
        <f>((Q69*P38)-(Q69*((P38-Q38)*(1+$S$36))))*Faktory!$D$8</f>
        <v>27311.021609195406</v>
      </c>
      <c r="R79" s="420">
        <f t="shared" si="48"/>
        <v>-40966.532413793102</v>
      </c>
    </row>
    <row r="80" spans="1:19" x14ac:dyDescent="0.25">
      <c r="A80" s="740"/>
      <c r="B80" s="742"/>
      <c r="C80" s="468" t="s">
        <v>28</v>
      </c>
      <c r="D80" s="469">
        <f t="shared" si="42"/>
        <v>51208.165517241381</v>
      </c>
      <c r="E80" s="470">
        <f t="shared" si="43"/>
        <v>20483.266206896555</v>
      </c>
      <c r="F80" s="471">
        <f t="shared" si="44"/>
        <v>-30724.899310344827</v>
      </c>
      <c r="G80" s="478">
        <f>G9*G39*Faktory!$D$8</f>
        <v>0</v>
      </c>
      <c r="H80" s="479">
        <f>((H70*G39)-(H70*((G39-H39)*(1+$S$36))))*Faktory!$D$8</f>
        <v>0</v>
      </c>
      <c r="I80" s="418">
        <f t="shared" si="45"/>
        <v>0</v>
      </c>
      <c r="J80" s="479">
        <f>J9*J39*Faktory!$D$8</f>
        <v>0</v>
      </c>
      <c r="K80" s="479">
        <f>((K70*J39)-(K70*((J39-K39)*(1+$S$36))))*Faktory!$D$8</f>
        <v>0</v>
      </c>
      <c r="L80" s="418">
        <f t="shared" si="46"/>
        <v>0</v>
      </c>
      <c r="M80" s="479">
        <f>M9*M39*Faktory!$D$8</f>
        <v>0</v>
      </c>
      <c r="N80" s="479">
        <f>((N70*M39)-(N70*((M39-N39)*(1+$S$36))))*Faktory!$D$8</f>
        <v>0</v>
      </c>
      <c r="O80" s="418">
        <f t="shared" si="47"/>
        <v>0</v>
      </c>
      <c r="P80" s="479">
        <f>P9*P39*Faktory!$D$8</f>
        <v>51208.165517241381</v>
      </c>
      <c r="Q80" s="480">
        <f>((Q70*P39)-(Q70*((P39-Q39)*(1+$S$36))))*Faktory!$D$8</f>
        <v>20483.266206896555</v>
      </c>
      <c r="R80" s="420">
        <f t="shared" si="48"/>
        <v>-30724.899310344827</v>
      </c>
    </row>
    <row r="81" spans="1:18" x14ac:dyDescent="0.25">
      <c r="A81" s="740"/>
      <c r="B81" s="742"/>
      <c r="C81" s="468" t="s">
        <v>29</v>
      </c>
      <c r="D81" s="469">
        <f t="shared" si="42"/>
        <v>34138.777011494254</v>
      </c>
      <c r="E81" s="470">
        <f t="shared" si="43"/>
        <v>13655.510804597703</v>
      </c>
      <c r="F81" s="471">
        <f t="shared" si="44"/>
        <v>-20483.266206896551</v>
      </c>
      <c r="G81" s="478">
        <f>G10*G40*Faktory!$D$8</f>
        <v>0</v>
      </c>
      <c r="H81" s="479">
        <f>((H71*G40)-(H71*((G40-H40)*(1+$S$36))))*Faktory!$D$8</f>
        <v>0</v>
      </c>
      <c r="I81" s="418">
        <f t="shared" si="45"/>
        <v>0</v>
      </c>
      <c r="J81" s="479">
        <f>J10*J40*Faktory!$D$8</f>
        <v>0</v>
      </c>
      <c r="K81" s="479">
        <f>((K71*J40)-(K71*((J40-K40)*(1+$S$36))))*Faktory!$D$8</f>
        <v>0</v>
      </c>
      <c r="L81" s="418">
        <f t="shared" si="46"/>
        <v>0</v>
      </c>
      <c r="M81" s="479">
        <f>M10*M40*Faktory!$D$8</f>
        <v>0</v>
      </c>
      <c r="N81" s="479">
        <f>((N71*M40)-(N71*((M40-N40)*(1+$S$36))))*Faktory!$D$8</f>
        <v>0</v>
      </c>
      <c r="O81" s="418">
        <f t="shared" si="47"/>
        <v>0</v>
      </c>
      <c r="P81" s="479">
        <f>P10*P40*Faktory!$D$8</f>
        <v>34138.777011494254</v>
      </c>
      <c r="Q81" s="480">
        <f>((Q71*P40)-(Q71*((P40-Q40)*(1+$S$36))))*Faktory!$D$8</f>
        <v>13655.510804597703</v>
      </c>
      <c r="R81" s="420">
        <f t="shared" si="48"/>
        <v>-20483.266206896551</v>
      </c>
    </row>
    <row r="82" spans="1:18" x14ac:dyDescent="0.25">
      <c r="A82" s="740"/>
      <c r="B82" s="742"/>
      <c r="C82" s="468" t="s">
        <v>30</v>
      </c>
      <c r="D82" s="469">
        <f t="shared" si="42"/>
        <v>28448.980842911878</v>
      </c>
      <c r="E82" s="470">
        <f t="shared" si="43"/>
        <v>11379.592337164751</v>
      </c>
      <c r="F82" s="471">
        <f t="shared" si="44"/>
        <v>-17069.388505747127</v>
      </c>
      <c r="G82" s="478">
        <f>G11*G41*Faktory!$D$8</f>
        <v>0</v>
      </c>
      <c r="H82" s="479">
        <f>((H72*G41)-(H72*((G41-H41)*(1+$S$36))))*Faktory!$D$8</f>
        <v>0</v>
      </c>
      <c r="I82" s="418">
        <f t="shared" si="45"/>
        <v>0</v>
      </c>
      <c r="J82" s="479">
        <f>J11*J41*Faktory!$D$8</f>
        <v>0</v>
      </c>
      <c r="K82" s="479">
        <f>((K72*J41)-(K72*((J41-K41)*(1+$S$36))))*Faktory!$D$8</f>
        <v>0</v>
      </c>
      <c r="L82" s="418">
        <f t="shared" si="46"/>
        <v>0</v>
      </c>
      <c r="M82" s="479">
        <f>M11*M41*Faktory!$D$8</f>
        <v>0</v>
      </c>
      <c r="N82" s="479">
        <f>((N72*M41)-(N72*((M41-N41)*(1+$S$36))))*Faktory!$D$8</f>
        <v>0</v>
      </c>
      <c r="O82" s="418">
        <f t="shared" si="47"/>
        <v>0</v>
      </c>
      <c r="P82" s="479">
        <f>P11*P41*Faktory!$D$8</f>
        <v>28448.980842911878</v>
      </c>
      <c r="Q82" s="480">
        <f>((Q72*P41)-(Q72*((P41-Q41)*(1+$S$36))))*Faktory!$D$8</f>
        <v>11379.592337164751</v>
      </c>
      <c r="R82" s="420">
        <f t="shared" si="48"/>
        <v>-17069.388505747127</v>
      </c>
    </row>
    <row r="83" spans="1:18" x14ac:dyDescent="0.25">
      <c r="A83" s="740"/>
      <c r="B83" s="742"/>
      <c r="C83" s="468" t="s">
        <v>31</v>
      </c>
      <c r="D83" s="469">
        <f t="shared" si="42"/>
        <v>22759.184674329503</v>
      </c>
      <c r="E83" s="470">
        <f t="shared" si="43"/>
        <v>9103.6738697318015</v>
      </c>
      <c r="F83" s="471">
        <f t="shared" si="44"/>
        <v>-13655.510804597701</v>
      </c>
      <c r="G83" s="478">
        <f>G12*G42*Faktory!$D$8</f>
        <v>0</v>
      </c>
      <c r="H83" s="479">
        <f>((H73*G42)-(H73*((G42-H42)*(1+$S$36))))*Faktory!$D$8</f>
        <v>0</v>
      </c>
      <c r="I83" s="418">
        <f t="shared" si="45"/>
        <v>0</v>
      </c>
      <c r="J83" s="479">
        <f>J12*J42*Faktory!$D$8</f>
        <v>0</v>
      </c>
      <c r="K83" s="479">
        <f>((K73*J42)-(K73*((J42-K42)*(1+$S$36))))*Faktory!$D$8</f>
        <v>0</v>
      </c>
      <c r="L83" s="418">
        <f t="shared" si="46"/>
        <v>0</v>
      </c>
      <c r="M83" s="479">
        <f>M12*M42*Faktory!$D$8</f>
        <v>0</v>
      </c>
      <c r="N83" s="479">
        <f>((N73*M42)-(N73*((M42-N42)*(1+$S$36))))*Faktory!$D$8</f>
        <v>0</v>
      </c>
      <c r="O83" s="418">
        <f t="shared" si="47"/>
        <v>0</v>
      </c>
      <c r="P83" s="479">
        <f>P12*P42*Faktory!$D$8</f>
        <v>22759.184674329503</v>
      </c>
      <c r="Q83" s="480">
        <f>((Q73*P42)-(Q73*((P42-Q42)*(1+$S$36))))*Faktory!$D$8</f>
        <v>9103.6738697318015</v>
      </c>
      <c r="R83" s="420">
        <f t="shared" si="48"/>
        <v>-13655.510804597701</v>
      </c>
    </row>
    <row r="84" spans="1:18" x14ac:dyDescent="0.25">
      <c r="A84" s="740"/>
      <c r="B84" s="742"/>
      <c r="C84" s="468" t="s">
        <v>32</v>
      </c>
      <c r="D84" s="469">
        <f t="shared" si="42"/>
        <v>22759.184674329503</v>
      </c>
      <c r="E84" s="470">
        <f t="shared" si="43"/>
        <v>9103.6738697318015</v>
      </c>
      <c r="F84" s="471">
        <f t="shared" si="44"/>
        <v>-13655.510804597701</v>
      </c>
      <c r="G84" s="478">
        <f>G13*G43*Faktory!$D$8</f>
        <v>0</v>
      </c>
      <c r="H84" s="479">
        <f>((H74*G43)-(H74*((G43-H43)*(1+$S$36))))*Faktory!$D$8</f>
        <v>0</v>
      </c>
      <c r="I84" s="418">
        <f t="shared" si="45"/>
        <v>0</v>
      </c>
      <c r="J84" s="479">
        <f>J13*J43*Faktory!$D$8</f>
        <v>0</v>
      </c>
      <c r="K84" s="479">
        <f>((K74*J43)-(K74*((J43-K43)*(1+$S$36))))*Faktory!$D$8</f>
        <v>0</v>
      </c>
      <c r="L84" s="418">
        <f t="shared" si="46"/>
        <v>0</v>
      </c>
      <c r="M84" s="479">
        <f>M13*M43*Faktory!$D$8</f>
        <v>0</v>
      </c>
      <c r="N84" s="479">
        <f>((N74*M43)-(N74*((M43-N43)*(1+$S$36))))*Faktory!$D$8</f>
        <v>0</v>
      </c>
      <c r="O84" s="418">
        <f t="shared" si="47"/>
        <v>0</v>
      </c>
      <c r="P84" s="479">
        <f>P13*P43*Faktory!$D$8</f>
        <v>22759.184674329503</v>
      </c>
      <c r="Q84" s="480">
        <f>((Q74*P43)-(Q74*((P43-Q43)*(1+$S$36))))*Faktory!$D$8</f>
        <v>9103.6738697318015</v>
      </c>
      <c r="R84" s="420">
        <f t="shared" si="48"/>
        <v>-13655.510804597701</v>
      </c>
    </row>
    <row r="85" spans="1:18" x14ac:dyDescent="0.25">
      <c r="A85" s="740"/>
      <c r="B85" s="742"/>
      <c r="C85" s="468" t="s">
        <v>33</v>
      </c>
      <c r="D85" s="469">
        <f t="shared" si="42"/>
        <v>22759.184674329503</v>
      </c>
      <c r="E85" s="470">
        <f t="shared" si="43"/>
        <v>9103.6738697318015</v>
      </c>
      <c r="F85" s="471">
        <f t="shared" si="44"/>
        <v>-13655.510804597701</v>
      </c>
      <c r="G85" s="478">
        <f>G14*G44*Faktory!$D$8</f>
        <v>0</v>
      </c>
      <c r="H85" s="479">
        <f>((H75*G44)-(H75*((G44-H44)*(1+$S$36))))*Faktory!$D$8</f>
        <v>0</v>
      </c>
      <c r="I85" s="418">
        <f t="shared" si="45"/>
        <v>0</v>
      </c>
      <c r="J85" s="479">
        <f>J14*J44*Faktory!$D$8</f>
        <v>0</v>
      </c>
      <c r="K85" s="479">
        <f>((K75*J44)-(K75*((J44-K44)*(1+$S$36))))*Faktory!$D$8</f>
        <v>0</v>
      </c>
      <c r="L85" s="418">
        <f t="shared" si="46"/>
        <v>0</v>
      </c>
      <c r="M85" s="479">
        <f>M14*M44*Faktory!$D$8</f>
        <v>0</v>
      </c>
      <c r="N85" s="479">
        <f>((N75*M44)-(N75*((M44-N44)*(1+$S$36))))*Faktory!$D$8</f>
        <v>0</v>
      </c>
      <c r="O85" s="418">
        <f t="shared" si="47"/>
        <v>0</v>
      </c>
      <c r="P85" s="479">
        <f>P14*P44*Faktory!$D$8</f>
        <v>22759.184674329503</v>
      </c>
      <c r="Q85" s="480">
        <f>((Q75*P44)-(Q75*((P44-Q44)*(1+$S$36))))*Faktory!$D$8</f>
        <v>9103.6738697318015</v>
      </c>
      <c r="R85" s="420">
        <f t="shared" si="48"/>
        <v>-13655.510804597701</v>
      </c>
    </row>
    <row r="86" spans="1:18" ht="15.75" thickBot="1" x14ac:dyDescent="0.3">
      <c r="A86" s="741"/>
      <c r="B86" s="743"/>
      <c r="C86" s="481" t="s">
        <v>34</v>
      </c>
      <c r="D86" s="482">
        <f t="shared" si="42"/>
        <v>22759.184674329503</v>
      </c>
      <c r="E86" s="483">
        <f t="shared" si="43"/>
        <v>9103.6738697318015</v>
      </c>
      <c r="F86" s="484">
        <f t="shared" si="44"/>
        <v>-13655.510804597701</v>
      </c>
      <c r="G86" s="485">
        <f>G15*G45*Faktory!$D$8</f>
        <v>0</v>
      </c>
      <c r="H86" s="486">
        <f>((H76*G45)-(H76*((G45-H45)*(1+$S$36))))*Faktory!$D$8</f>
        <v>0</v>
      </c>
      <c r="I86" s="427">
        <f t="shared" si="45"/>
        <v>0</v>
      </c>
      <c r="J86" s="486">
        <f>J15*J45*Faktory!$D$8</f>
        <v>0</v>
      </c>
      <c r="K86" s="486">
        <f>((K76*J45)-(K76*((J45-K45)*(1+$S$36))))*Faktory!$D$8</f>
        <v>0</v>
      </c>
      <c r="L86" s="427">
        <f t="shared" si="46"/>
        <v>0</v>
      </c>
      <c r="M86" s="486">
        <f>M15*M45*Faktory!$D$8</f>
        <v>0</v>
      </c>
      <c r="N86" s="486">
        <f>((N76*M45)-(N76*((M45-N45)*(1+$S$36))))*Faktory!$D$8</f>
        <v>0</v>
      </c>
      <c r="O86" s="427">
        <f t="shared" si="47"/>
        <v>0</v>
      </c>
      <c r="P86" s="486">
        <f>P15*P45*Faktory!$D$8</f>
        <v>22759.184674329503</v>
      </c>
      <c r="Q86" s="487">
        <f>((Q76*P45)-(Q76*((P45-Q45)*(1+$S$36))))*Faktory!$D$8</f>
        <v>9103.6738697318015</v>
      </c>
      <c r="R86" s="429">
        <f t="shared" si="48"/>
        <v>-13655.510804597701</v>
      </c>
    </row>
    <row r="87" spans="1:18" x14ac:dyDescent="0.25">
      <c r="A87" s="740" t="s">
        <v>193</v>
      </c>
      <c r="B87" s="742" t="s">
        <v>194</v>
      </c>
      <c r="C87" s="468" t="s">
        <v>25</v>
      </c>
      <c r="D87" s="493">
        <f t="shared" si="42"/>
        <v>2.6455026455026456</v>
      </c>
      <c r="E87" s="494">
        <f t="shared" si="43"/>
        <v>2.6455026455026456</v>
      </c>
      <c r="F87" s="495">
        <f t="shared" si="44"/>
        <v>0</v>
      </c>
      <c r="G87" s="496">
        <f t="shared" ref="G87:H96" si="49">(G6*G36)/12/21/7.5</f>
        <v>0</v>
      </c>
      <c r="H87" s="497">
        <f t="shared" si="49"/>
        <v>0</v>
      </c>
      <c r="I87" s="498">
        <f t="shared" si="45"/>
        <v>0</v>
      </c>
      <c r="J87" s="497">
        <f t="shared" ref="J87:K96" si="50">(J6*J36)/12/21/7.5</f>
        <v>0</v>
      </c>
      <c r="K87" s="497">
        <f t="shared" si="50"/>
        <v>0</v>
      </c>
      <c r="L87" s="498">
        <f t="shared" si="46"/>
        <v>0</v>
      </c>
      <c r="M87" s="497">
        <f t="shared" ref="M87:N96" si="51">(M6*M36)/12/21/7.5</f>
        <v>0</v>
      </c>
      <c r="N87" s="497">
        <f t="shared" si="51"/>
        <v>0</v>
      </c>
      <c r="O87" s="498">
        <f t="shared" si="47"/>
        <v>0</v>
      </c>
      <c r="P87" s="497">
        <f t="shared" ref="P87:Q96" si="52">(P6*P36)/12/21/7.5</f>
        <v>2.6455026455026456</v>
      </c>
      <c r="Q87" s="499">
        <f t="shared" si="52"/>
        <v>2.6455026455026456</v>
      </c>
      <c r="R87" s="500">
        <f t="shared" si="48"/>
        <v>0</v>
      </c>
    </row>
    <row r="88" spans="1:18" x14ac:dyDescent="0.25">
      <c r="A88" s="740"/>
      <c r="B88" s="742"/>
      <c r="C88" s="468" t="s">
        <v>26</v>
      </c>
      <c r="D88" s="493">
        <f t="shared" si="42"/>
        <v>3.1746031746031749</v>
      </c>
      <c r="E88" s="494">
        <f t="shared" si="43"/>
        <v>3.1746031746031749</v>
      </c>
      <c r="F88" s="495">
        <f t="shared" si="44"/>
        <v>0</v>
      </c>
      <c r="G88" s="501">
        <f t="shared" si="49"/>
        <v>0</v>
      </c>
      <c r="H88" s="502">
        <f t="shared" si="49"/>
        <v>0</v>
      </c>
      <c r="I88" s="503">
        <f t="shared" si="45"/>
        <v>0</v>
      </c>
      <c r="J88" s="502">
        <f t="shared" si="50"/>
        <v>0</v>
      </c>
      <c r="K88" s="502">
        <f t="shared" si="50"/>
        <v>0</v>
      </c>
      <c r="L88" s="503">
        <f t="shared" si="46"/>
        <v>0</v>
      </c>
      <c r="M88" s="502">
        <f t="shared" si="51"/>
        <v>0</v>
      </c>
      <c r="N88" s="502">
        <f t="shared" si="51"/>
        <v>0</v>
      </c>
      <c r="O88" s="503">
        <f t="shared" si="47"/>
        <v>0</v>
      </c>
      <c r="P88" s="502">
        <f t="shared" si="52"/>
        <v>3.1746031746031749</v>
      </c>
      <c r="Q88" s="504">
        <f t="shared" si="52"/>
        <v>3.1746031746031749</v>
      </c>
      <c r="R88" s="505">
        <f t="shared" si="48"/>
        <v>0</v>
      </c>
    </row>
    <row r="89" spans="1:18" x14ac:dyDescent="0.25">
      <c r="A89" s="740"/>
      <c r="B89" s="742"/>
      <c r="C89" s="468" t="s">
        <v>27</v>
      </c>
      <c r="D89" s="493">
        <f t="shared" si="42"/>
        <v>3.1746031746031749</v>
      </c>
      <c r="E89" s="494">
        <f t="shared" si="43"/>
        <v>1.2698412698412698</v>
      </c>
      <c r="F89" s="495">
        <f t="shared" si="44"/>
        <v>-1.9047619047619051</v>
      </c>
      <c r="G89" s="501">
        <f t="shared" si="49"/>
        <v>0</v>
      </c>
      <c r="H89" s="502">
        <f t="shared" si="49"/>
        <v>0</v>
      </c>
      <c r="I89" s="503">
        <f t="shared" si="45"/>
        <v>0</v>
      </c>
      <c r="J89" s="502">
        <f t="shared" si="50"/>
        <v>0</v>
      </c>
      <c r="K89" s="502">
        <f t="shared" si="50"/>
        <v>0</v>
      </c>
      <c r="L89" s="503">
        <f t="shared" si="46"/>
        <v>0</v>
      </c>
      <c r="M89" s="502">
        <f t="shared" si="51"/>
        <v>0</v>
      </c>
      <c r="N89" s="502">
        <f t="shared" si="51"/>
        <v>0</v>
      </c>
      <c r="O89" s="503">
        <f t="shared" si="47"/>
        <v>0</v>
      </c>
      <c r="P89" s="502">
        <f t="shared" si="52"/>
        <v>3.1746031746031749</v>
      </c>
      <c r="Q89" s="504">
        <f t="shared" si="52"/>
        <v>1.2698412698412698</v>
      </c>
      <c r="R89" s="505">
        <f t="shared" si="48"/>
        <v>-1.9047619047619051</v>
      </c>
    </row>
    <row r="90" spans="1:18" x14ac:dyDescent="0.25">
      <c r="A90" s="740"/>
      <c r="B90" s="742"/>
      <c r="C90" s="468" t="s">
        <v>28</v>
      </c>
      <c r="D90" s="493">
        <f t="shared" si="42"/>
        <v>2.3809523809523809</v>
      </c>
      <c r="E90" s="494">
        <f t="shared" si="43"/>
        <v>0.95238095238095244</v>
      </c>
      <c r="F90" s="495">
        <f t="shared" si="44"/>
        <v>-1.4285714285714284</v>
      </c>
      <c r="G90" s="501">
        <f t="shared" si="49"/>
        <v>0</v>
      </c>
      <c r="H90" s="502">
        <f t="shared" si="49"/>
        <v>0</v>
      </c>
      <c r="I90" s="503">
        <f t="shared" si="45"/>
        <v>0</v>
      </c>
      <c r="J90" s="502">
        <f t="shared" si="50"/>
        <v>0</v>
      </c>
      <c r="K90" s="502">
        <f t="shared" si="50"/>
        <v>0</v>
      </c>
      <c r="L90" s="503">
        <f t="shared" si="46"/>
        <v>0</v>
      </c>
      <c r="M90" s="502">
        <f t="shared" si="51"/>
        <v>0</v>
      </c>
      <c r="N90" s="502">
        <f t="shared" si="51"/>
        <v>0</v>
      </c>
      <c r="O90" s="503">
        <f t="shared" si="47"/>
        <v>0</v>
      </c>
      <c r="P90" s="502">
        <f t="shared" si="52"/>
        <v>2.3809523809523809</v>
      </c>
      <c r="Q90" s="504">
        <f t="shared" si="52"/>
        <v>0.95238095238095244</v>
      </c>
      <c r="R90" s="505">
        <f t="shared" si="48"/>
        <v>-1.4285714285714284</v>
      </c>
    </row>
    <row r="91" spans="1:18" x14ac:dyDescent="0.25">
      <c r="A91" s="740"/>
      <c r="B91" s="742"/>
      <c r="C91" s="468" t="s">
        <v>29</v>
      </c>
      <c r="D91" s="493">
        <f t="shared" si="42"/>
        <v>1.5873015873015874</v>
      </c>
      <c r="E91" s="494">
        <f t="shared" si="43"/>
        <v>0.63492063492063489</v>
      </c>
      <c r="F91" s="495">
        <f t="shared" si="44"/>
        <v>-0.95238095238095255</v>
      </c>
      <c r="G91" s="501">
        <f t="shared" si="49"/>
        <v>0</v>
      </c>
      <c r="H91" s="502">
        <f t="shared" si="49"/>
        <v>0</v>
      </c>
      <c r="I91" s="503">
        <f t="shared" si="45"/>
        <v>0</v>
      </c>
      <c r="J91" s="502">
        <f t="shared" si="50"/>
        <v>0</v>
      </c>
      <c r="K91" s="502">
        <f t="shared" si="50"/>
        <v>0</v>
      </c>
      <c r="L91" s="503">
        <f t="shared" si="46"/>
        <v>0</v>
      </c>
      <c r="M91" s="502">
        <f t="shared" si="51"/>
        <v>0</v>
      </c>
      <c r="N91" s="502">
        <f t="shared" si="51"/>
        <v>0</v>
      </c>
      <c r="O91" s="503">
        <f t="shared" si="47"/>
        <v>0</v>
      </c>
      <c r="P91" s="502">
        <f t="shared" si="52"/>
        <v>1.5873015873015874</v>
      </c>
      <c r="Q91" s="504">
        <f t="shared" si="52"/>
        <v>0.63492063492063489</v>
      </c>
      <c r="R91" s="505">
        <f t="shared" si="48"/>
        <v>-0.95238095238095255</v>
      </c>
    </row>
    <row r="92" spans="1:18" x14ac:dyDescent="0.25">
      <c r="A92" s="740"/>
      <c r="B92" s="742"/>
      <c r="C92" s="468" t="s">
        <v>30</v>
      </c>
      <c r="D92" s="493">
        <f t="shared" si="42"/>
        <v>1.3227513227513228</v>
      </c>
      <c r="E92" s="494">
        <f t="shared" si="43"/>
        <v>0.52910052910052907</v>
      </c>
      <c r="F92" s="495">
        <f t="shared" si="44"/>
        <v>-0.79365079365079372</v>
      </c>
      <c r="G92" s="501">
        <f t="shared" si="49"/>
        <v>0</v>
      </c>
      <c r="H92" s="502">
        <f t="shared" si="49"/>
        <v>0</v>
      </c>
      <c r="I92" s="503">
        <f t="shared" si="45"/>
        <v>0</v>
      </c>
      <c r="J92" s="502">
        <f t="shared" si="50"/>
        <v>0</v>
      </c>
      <c r="K92" s="502">
        <f t="shared" si="50"/>
        <v>0</v>
      </c>
      <c r="L92" s="503">
        <f t="shared" si="46"/>
        <v>0</v>
      </c>
      <c r="M92" s="502">
        <f t="shared" si="51"/>
        <v>0</v>
      </c>
      <c r="N92" s="502">
        <f t="shared" si="51"/>
        <v>0</v>
      </c>
      <c r="O92" s="503">
        <f t="shared" si="47"/>
        <v>0</v>
      </c>
      <c r="P92" s="502">
        <f t="shared" si="52"/>
        <v>1.3227513227513228</v>
      </c>
      <c r="Q92" s="504">
        <f t="shared" si="52"/>
        <v>0.52910052910052907</v>
      </c>
      <c r="R92" s="505">
        <f t="shared" si="48"/>
        <v>-0.79365079365079372</v>
      </c>
    </row>
    <row r="93" spans="1:18" x14ac:dyDescent="0.25">
      <c r="A93" s="740"/>
      <c r="B93" s="742"/>
      <c r="C93" s="468" t="s">
        <v>31</v>
      </c>
      <c r="D93" s="493">
        <f t="shared" si="42"/>
        <v>1.0582010582010581</v>
      </c>
      <c r="E93" s="494">
        <f t="shared" si="43"/>
        <v>0.42328042328042331</v>
      </c>
      <c r="F93" s="495">
        <f t="shared" si="44"/>
        <v>-0.63492063492063489</v>
      </c>
      <c r="G93" s="501">
        <f t="shared" si="49"/>
        <v>0</v>
      </c>
      <c r="H93" s="502">
        <f t="shared" si="49"/>
        <v>0</v>
      </c>
      <c r="I93" s="503">
        <f t="shared" si="45"/>
        <v>0</v>
      </c>
      <c r="J93" s="502">
        <f t="shared" si="50"/>
        <v>0</v>
      </c>
      <c r="K93" s="502">
        <f t="shared" si="50"/>
        <v>0</v>
      </c>
      <c r="L93" s="503">
        <f t="shared" si="46"/>
        <v>0</v>
      </c>
      <c r="M93" s="502">
        <f t="shared" si="51"/>
        <v>0</v>
      </c>
      <c r="N93" s="502">
        <f t="shared" si="51"/>
        <v>0</v>
      </c>
      <c r="O93" s="503">
        <f t="shared" si="47"/>
        <v>0</v>
      </c>
      <c r="P93" s="502">
        <f t="shared" si="52"/>
        <v>1.0582010582010581</v>
      </c>
      <c r="Q93" s="504">
        <f t="shared" si="52"/>
        <v>0.42328042328042331</v>
      </c>
      <c r="R93" s="505">
        <f t="shared" si="48"/>
        <v>-0.63492063492063489</v>
      </c>
    </row>
    <row r="94" spans="1:18" x14ac:dyDescent="0.25">
      <c r="A94" s="740"/>
      <c r="B94" s="742"/>
      <c r="C94" s="468" t="s">
        <v>32</v>
      </c>
      <c r="D94" s="493">
        <f t="shared" si="42"/>
        <v>1.0582010582010581</v>
      </c>
      <c r="E94" s="494">
        <f t="shared" si="43"/>
        <v>0.42328042328042331</v>
      </c>
      <c r="F94" s="495">
        <f t="shared" si="44"/>
        <v>-0.63492063492063489</v>
      </c>
      <c r="G94" s="501">
        <f t="shared" si="49"/>
        <v>0</v>
      </c>
      <c r="H94" s="502">
        <f t="shared" si="49"/>
        <v>0</v>
      </c>
      <c r="I94" s="503">
        <f t="shared" si="45"/>
        <v>0</v>
      </c>
      <c r="J94" s="502">
        <f t="shared" si="50"/>
        <v>0</v>
      </c>
      <c r="K94" s="502">
        <f t="shared" si="50"/>
        <v>0</v>
      </c>
      <c r="L94" s="503">
        <f t="shared" si="46"/>
        <v>0</v>
      </c>
      <c r="M94" s="502">
        <f t="shared" si="51"/>
        <v>0</v>
      </c>
      <c r="N94" s="502">
        <f t="shared" si="51"/>
        <v>0</v>
      </c>
      <c r="O94" s="503">
        <f t="shared" si="47"/>
        <v>0</v>
      </c>
      <c r="P94" s="502">
        <f t="shared" si="52"/>
        <v>1.0582010582010581</v>
      </c>
      <c r="Q94" s="504">
        <f t="shared" si="52"/>
        <v>0.42328042328042331</v>
      </c>
      <c r="R94" s="505">
        <f t="shared" si="48"/>
        <v>-0.63492063492063489</v>
      </c>
    </row>
    <row r="95" spans="1:18" x14ac:dyDescent="0.25">
      <c r="A95" s="740"/>
      <c r="B95" s="742"/>
      <c r="C95" s="468" t="s">
        <v>33</v>
      </c>
      <c r="D95" s="493">
        <f t="shared" si="42"/>
        <v>1.0582010582010581</v>
      </c>
      <c r="E95" s="494">
        <f t="shared" si="43"/>
        <v>0.42328042328042331</v>
      </c>
      <c r="F95" s="495">
        <f t="shared" si="44"/>
        <v>-0.63492063492063489</v>
      </c>
      <c r="G95" s="501">
        <f t="shared" si="49"/>
        <v>0</v>
      </c>
      <c r="H95" s="502">
        <f t="shared" si="49"/>
        <v>0</v>
      </c>
      <c r="I95" s="503">
        <f t="shared" si="45"/>
        <v>0</v>
      </c>
      <c r="J95" s="502">
        <f t="shared" si="50"/>
        <v>0</v>
      </c>
      <c r="K95" s="502">
        <f t="shared" si="50"/>
        <v>0</v>
      </c>
      <c r="L95" s="503">
        <f t="shared" si="46"/>
        <v>0</v>
      </c>
      <c r="M95" s="502">
        <f t="shared" si="51"/>
        <v>0</v>
      </c>
      <c r="N95" s="502">
        <f t="shared" si="51"/>
        <v>0</v>
      </c>
      <c r="O95" s="503">
        <f t="shared" si="47"/>
        <v>0</v>
      </c>
      <c r="P95" s="502">
        <f t="shared" si="52"/>
        <v>1.0582010582010581</v>
      </c>
      <c r="Q95" s="504">
        <f t="shared" si="52"/>
        <v>0.42328042328042331</v>
      </c>
      <c r="R95" s="505">
        <f t="shared" si="48"/>
        <v>-0.63492063492063489</v>
      </c>
    </row>
    <row r="96" spans="1:18" ht="15.75" thickBot="1" x14ac:dyDescent="0.3">
      <c r="A96" s="741"/>
      <c r="B96" s="743"/>
      <c r="C96" s="481" t="s">
        <v>34</v>
      </c>
      <c r="D96" s="506">
        <f t="shared" si="42"/>
        <v>1.0582010582010581</v>
      </c>
      <c r="E96" s="507">
        <f t="shared" si="43"/>
        <v>0.42328042328042331</v>
      </c>
      <c r="F96" s="508">
        <f t="shared" si="44"/>
        <v>-0.63492063492063489</v>
      </c>
      <c r="G96" s="509">
        <f t="shared" si="49"/>
        <v>0</v>
      </c>
      <c r="H96" s="510">
        <f t="shared" si="49"/>
        <v>0</v>
      </c>
      <c r="I96" s="511">
        <f t="shared" si="45"/>
        <v>0</v>
      </c>
      <c r="J96" s="510">
        <f t="shared" si="50"/>
        <v>0</v>
      </c>
      <c r="K96" s="510">
        <f t="shared" si="50"/>
        <v>0</v>
      </c>
      <c r="L96" s="511">
        <f t="shared" si="46"/>
        <v>0</v>
      </c>
      <c r="M96" s="510">
        <f t="shared" si="51"/>
        <v>0</v>
      </c>
      <c r="N96" s="510">
        <f t="shared" si="51"/>
        <v>0</v>
      </c>
      <c r="O96" s="511">
        <f t="shared" si="47"/>
        <v>0</v>
      </c>
      <c r="P96" s="510">
        <f t="shared" si="52"/>
        <v>1.0582010582010581</v>
      </c>
      <c r="Q96" s="512">
        <f t="shared" si="52"/>
        <v>0.42328042328042331</v>
      </c>
      <c r="R96" s="513">
        <f t="shared" si="48"/>
        <v>-0.63492063492063489</v>
      </c>
    </row>
    <row r="97" spans="1:18" x14ac:dyDescent="0.25">
      <c r="A97" s="740" t="s">
        <v>197</v>
      </c>
      <c r="B97" s="742" t="s">
        <v>13</v>
      </c>
      <c r="C97" s="468" t="s">
        <v>25</v>
      </c>
      <c r="D97" s="469">
        <f>G97+J97+M97+P97</f>
        <v>0</v>
      </c>
      <c r="E97" s="470">
        <f>H97+K97+N97+Q97</f>
        <v>0</v>
      </c>
      <c r="F97" s="471">
        <f>I97+L97+O97+R97</f>
        <v>0</v>
      </c>
      <c r="G97" s="488">
        <v>0</v>
      </c>
      <c r="H97" s="489">
        <f>(G67+I67/2)*((G46-H46)*(1+$S$46))*Faktory!$D$10</f>
        <v>0</v>
      </c>
      <c r="I97" s="407">
        <f>H97</f>
        <v>0</v>
      </c>
      <c r="J97" s="489">
        <v>0</v>
      </c>
      <c r="K97" s="489">
        <f>(J67+L67/2)*((J46-K46)*(1+$S$46))*Faktory!$D$10</f>
        <v>0</v>
      </c>
      <c r="L97" s="407">
        <f>K97</f>
        <v>0</v>
      </c>
      <c r="M97" s="489">
        <v>0</v>
      </c>
      <c r="N97" s="489">
        <f>(M67+O67/2)*((M46-N46)*(1+$S$46))*Faktory!$D$10</f>
        <v>0</v>
      </c>
      <c r="O97" s="407">
        <f>N97</f>
        <v>0</v>
      </c>
      <c r="P97" s="489">
        <v>0</v>
      </c>
      <c r="Q97" s="490">
        <f>(P67+R67/2)*((P46-Q46)*(1+$S$46))*Faktory!$D$10</f>
        <v>0</v>
      </c>
      <c r="R97" s="491">
        <f>Q97</f>
        <v>0</v>
      </c>
    </row>
    <row r="98" spans="1:18" x14ac:dyDescent="0.25">
      <c r="A98" s="740"/>
      <c r="B98" s="742"/>
      <c r="C98" s="468" t="s">
        <v>26</v>
      </c>
      <c r="D98" s="469">
        <f t="shared" ref="D98:D106" si="53">G98+J98+M98+P98</f>
        <v>0</v>
      </c>
      <c r="E98" s="470">
        <f t="shared" ref="E98:E116" si="54">H98+K98+N98+Q98</f>
        <v>0</v>
      </c>
      <c r="F98" s="471">
        <f t="shared" ref="F98:F106" si="55">I98+L98+O98+R98</f>
        <v>0</v>
      </c>
      <c r="G98" s="478">
        <v>0</v>
      </c>
      <c r="H98" s="479">
        <f>(G68+I68/2)*((G47-H47)*(1+$S$46))*Faktory!$D$10</f>
        <v>0</v>
      </c>
      <c r="I98" s="418">
        <f t="shared" ref="I98:I106" si="56">H98</f>
        <v>0</v>
      </c>
      <c r="J98" s="479">
        <v>0</v>
      </c>
      <c r="K98" s="479">
        <f>(J68+L68/2)*((J47-K47)*(1+$S$46))*Faktory!$D$10</f>
        <v>0</v>
      </c>
      <c r="L98" s="418">
        <f t="shared" ref="L98:L106" si="57">K98</f>
        <v>0</v>
      </c>
      <c r="M98" s="479">
        <v>0</v>
      </c>
      <c r="N98" s="479">
        <f>(M68+O68/2)*((M47-N47)*(1+$S$46))*Faktory!$D$10</f>
        <v>0</v>
      </c>
      <c r="O98" s="418">
        <f t="shared" ref="O98:O106" si="58">N98</f>
        <v>0</v>
      </c>
      <c r="P98" s="479">
        <v>0</v>
      </c>
      <c r="Q98" s="480">
        <f>(P68+R68/2)*((P47-Q47)*(1+$S$46))*Faktory!$D$10</f>
        <v>0</v>
      </c>
      <c r="R98" s="420">
        <f t="shared" ref="R98:R106" si="59">Q98</f>
        <v>0</v>
      </c>
    </row>
    <row r="99" spans="1:18" x14ac:dyDescent="0.25">
      <c r="A99" s="740"/>
      <c r="B99" s="742"/>
      <c r="C99" s="468" t="s">
        <v>27</v>
      </c>
      <c r="D99" s="469">
        <f t="shared" si="53"/>
        <v>0</v>
      </c>
      <c r="E99" s="470">
        <f t="shared" si="54"/>
        <v>3045562.5</v>
      </c>
      <c r="F99" s="471">
        <f t="shared" si="55"/>
        <v>3045562.5</v>
      </c>
      <c r="G99" s="478">
        <v>0</v>
      </c>
      <c r="H99" s="479">
        <f>(G69+I69/2)*((G48-H48)*(1+$S$46))*Faktory!$D$10</f>
        <v>1859250</v>
      </c>
      <c r="I99" s="418">
        <f t="shared" si="56"/>
        <v>1859250</v>
      </c>
      <c r="J99" s="479">
        <v>0</v>
      </c>
      <c r="K99" s="479">
        <f>(J69+L69/2)*((J48-K48)*(1+$S$46))*Faktory!$D$10</f>
        <v>929625</v>
      </c>
      <c r="L99" s="418">
        <f t="shared" si="57"/>
        <v>929625</v>
      </c>
      <c r="M99" s="479">
        <v>0</v>
      </c>
      <c r="N99" s="479">
        <f>(M69+O69/2)*((M48-N48)*(1+$S$46))*Faktory!$D$10</f>
        <v>256687.5</v>
      </c>
      <c r="O99" s="418">
        <f t="shared" si="58"/>
        <v>256687.5</v>
      </c>
      <c r="P99" s="479">
        <v>0</v>
      </c>
      <c r="Q99" s="480">
        <f>(P69+R69/2)*((P48-Q48)*(1+$S$46))*Faktory!$D$10</f>
        <v>0</v>
      </c>
      <c r="R99" s="420">
        <f t="shared" si="59"/>
        <v>0</v>
      </c>
    </row>
    <row r="100" spans="1:18" x14ac:dyDescent="0.25">
      <c r="A100" s="740"/>
      <c r="B100" s="742"/>
      <c r="C100" s="468" t="s">
        <v>28</v>
      </c>
      <c r="D100" s="469">
        <f t="shared" si="53"/>
        <v>0</v>
      </c>
      <c r="E100" s="470">
        <f t="shared" si="54"/>
        <v>3854475</v>
      </c>
      <c r="F100" s="471">
        <f t="shared" si="55"/>
        <v>3854475</v>
      </c>
      <c r="G100" s="478">
        <v>0</v>
      </c>
      <c r="H100" s="479">
        <f>(G70+I70/2)*((G49-H49)*(1+$S$46))*Faktory!$D$10</f>
        <v>2303250</v>
      </c>
      <c r="I100" s="418">
        <f t="shared" si="56"/>
        <v>2303250</v>
      </c>
      <c r="J100" s="479">
        <v>0</v>
      </c>
      <c r="K100" s="479">
        <f>(J70+L70/2)*((J49-K49)*(1+$S$46))*Faktory!$D$10</f>
        <v>1151625</v>
      </c>
      <c r="L100" s="418">
        <f t="shared" si="57"/>
        <v>1151625</v>
      </c>
      <c r="M100" s="479">
        <v>0</v>
      </c>
      <c r="N100" s="479">
        <f>(M70+O70/2)*((M49-N49)*(1+$S$46))*Faktory!$D$10</f>
        <v>399600</v>
      </c>
      <c r="O100" s="418">
        <f t="shared" si="58"/>
        <v>399600</v>
      </c>
      <c r="P100" s="479">
        <v>0</v>
      </c>
      <c r="Q100" s="480">
        <f>(P70+R70/2)*((P49-Q49)*(1+$S$46))*Faktory!$D$10</f>
        <v>0</v>
      </c>
      <c r="R100" s="420">
        <f t="shared" si="59"/>
        <v>0</v>
      </c>
    </row>
    <row r="101" spans="1:18" x14ac:dyDescent="0.25">
      <c r="A101" s="740"/>
      <c r="B101" s="742"/>
      <c r="C101" s="468" t="s">
        <v>29</v>
      </c>
      <c r="D101" s="469">
        <f t="shared" si="53"/>
        <v>0</v>
      </c>
      <c r="E101" s="470">
        <f t="shared" si="54"/>
        <v>4719581.25</v>
      </c>
      <c r="F101" s="471">
        <f t="shared" si="55"/>
        <v>4719581.25</v>
      </c>
      <c r="G101" s="478">
        <v>0</v>
      </c>
      <c r="H101" s="479">
        <f>(G71+I71/2)*((G50-H50)*(1+$S$46))*Faktory!$D$10</f>
        <v>2761125</v>
      </c>
      <c r="I101" s="418">
        <f t="shared" si="56"/>
        <v>2761125</v>
      </c>
      <c r="J101" s="479">
        <v>0</v>
      </c>
      <c r="K101" s="479">
        <f>(J71+L71/2)*((J50-K50)*(1+$S$46))*Faktory!$D$10</f>
        <v>1380562.5</v>
      </c>
      <c r="L101" s="418">
        <f t="shared" si="57"/>
        <v>1380562.5</v>
      </c>
      <c r="M101" s="479">
        <v>0</v>
      </c>
      <c r="N101" s="479">
        <f>(M71+O71/2)*((M50-N50)*(1+$S$46))*Faktory!$D$10</f>
        <v>577893.75000000012</v>
      </c>
      <c r="O101" s="418">
        <f t="shared" si="58"/>
        <v>577893.75000000012</v>
      </c>
      <c r="P101" s="479">
        <v>0</v>
      </c>
      <c r="Q101" s="480">
        <f>(P71+R71/2)*((P50-Q50)*(1+$S$46))*Faktory!$D$10</f>
        <v>0</v>
      </c>
      <c r="R101" s="420">
        <f t="shared" si="59"/>
        <v>0</v>
      </c>
    </row>
    <row r="102" spans="1:18" x14ac:dyDescent="0.25">
      <c r="A102" s="740"/>
      <c r="B102" s="742"/>
      <c r="C102" s="468" t="s">
        <v>30</v>
      </c>
      <c r="D102" s="469">
        <f t="shared" si="53"/>
        <v>0</v>
      </c>
      <c r="E102" s="470">
        <f t="shared" si="54"/>
        <v>5669325</v>
      </c>
      <c r="F102" s="471">
        <f t="shared" si="55"/>
        <v>5669325</v>
      </c>
      <c r="G102" s="478">
        <v>0</v>
      </c>
      <c r="H102" s="479">
        <f>(G72+I72/2)*((G51-H51)*(1+$S$46))*Faktory!$D$10</f>
        <v>3246750</v>
      </c>
      <c r="I102" s="418">
        <f t="shared" si="56"/>
        <v>3246750</v>
      </c>
      <c r="J102" s="479">
        <v>0</v>
      </c>
      <c r="K102" s="479">
        <f>(J72+L72/2)*((J51-K51)*(1+$S$46))*Faktory!$D$10</f>
        <v>1623375</v>
      </c>
      <c r="L102" s="418">
        <f t="shared" si="57"/>
        <v>1623375</v>
      </c>
      <c r="M102" s="479">
        <v>0</v>
      </c>
      <c r="N102" s="479">
        <f>(M72+O72/2)*((M51-N51)*(1+$S$46))*Faktory!$D$10</f>
        <v>799200</v>
      </c>
      <c r="O102" s="418">
        <f t="shared" si="58"/>
        <v>799200</v>
      </c>
      <c r="P102" s="479">
        <v>0</v>
      </c>
      <c r="Q102" s="480">
        <f>(P72+R72/2)*((P51-Q51)*(1+$S$46))*Faktory!$D$10</f>
        <v>0</v>
      </c>
      <c r="R102" s="420">
        <f t="shared" si="59"/>
        <v>0</v>
      </c>
    </row>
    <row r="103" spans="1:18" x14ac:dyDescent="0.25">
      <c r="A103" s="740"/>
      <c r="B103" s="742"/>
      <c r="C103" s="468" t="s">
        <v>31</v>
      </c>
      <c r="D103" s="469">
        <f t="shared" si="53"/>
        <v>0</v>
      </c>
      <c r="E103" s="470">
        <f t="shared" si="54"/>
        <v>6653756.25</v>
      </c>
      <c r="F103" s="471">
        <f t="shared" si="55"/>
        <v>6653756.25</v>
      </c>
      <c r="G103" s="478">
        <v>0</v>
      </c>
      <c r="H103" s="479">
        <f>(G73+I73/2)*((G52-H52)*(1+$S$46))*Faktory!$D$10</f>
        <v>3732375</v>
      </c>
      <c r="I103" s="418">
        <f t="shared" si="56"/>
        <v>3732375</v>
      </c>
      <c r="J103" s="479">
        <v>0</v>
      </c>
      <c r="K103" s="479">
        <f>(J73+L73/2)*((J52-K52)*(1+$S$46))*Faktory!$D$10</f>
        <v>1866187.5</v>
      </c>
      <c r="L103" s="418">
        <f t="shared" si="57"/>
        <v>1866187.5</v>
      </c>
      <c r="M103" s="479">
        <v>0</v>
      </c>
      <c r="N103" s="479">
        <f>(M73+O73/2)*((M52-N52)*(1+$S$46))*Faktory!$D$10</f>
        <v>1055193.75</v>
      </c>
      <c r="O103" s="418">
        <f t="shared" si="58"/>
        <v>1055193.75</v>
      </c>
      <c r="P103" s="479">
        <v>0</v>
      </c>
      <c r="Q103" s="480">
        <f>(P73+R73/2)*((P52-Q52)*(1+$S$46))*Faktory!$D$10</f>
        <v>0</v>
      </c>
      <c r="R103" s="420">
        <f t="shared" si="59"/>
        <v>0</v>
      </c>
    </row>
    <row r="104" spans="1:18" x14ac:dyDescent="0.25">
      <c r="A104" s="740"/>
      <c r="B104" s="742"/>
      <c r="C104" s="468" t="s">
        <v>32</v>
      </c>
      <c r="D104" s="469">
        <f t="shared" si="53"/>
        <v>0</v>
      </c>
      <c r="E104" s="470">
        <f t="shared" si="54"/>
        <v>7534125</v>
      </c>
      <c r="F104" s="471">
        <f t="shared" si="55"/>
        <v>7534125</v>
      </c>
      <c r="G104" s="478">
        <v>0</v>
      </c>
      <c r="H104" s="479">
        <f>(G74+I74/2)*((G53-H53)*(1+$S$46))*Faktory!$D$10</f>
        <v>4134750</v>
      </c>
      <c r="I104" s="418">
        <f t="shared" si="56"/>
        <v>4134750</v>
      </c>
      <c r="J104" s="479">
        <v>0</v>
      </c>
      <c r="K104" s="479">
        <f>(J74+L74/2)*((J53-K53)*(1+$S$46))*Faktory!$D$10</f>
        <v>2067375</v>
      </c>
      <c r="L104" s="418">
        <f t="shared" si="57"/>
        <v>2067375</v>
      </c>
      <c r="M104" s="479">
        <v>0</v>
      </c>
      <c r="N104" s="479">
        <f>(M74+O74/2)*((M53-N53)*(1+$S$46))*Faktory!$D$10</f>
        <v>1332000</v>
      </c>
      <c r="O104" s="418">
        <f t="shared" si="58"/>
        <v>1332000</v>
      </c>
      <c r="P104" s="479">
        <v>0</v>
      </c>
      <c r="Q104" s="480">
        <f>(P74+R74/2)*((P53-Q53)*(1+$S$46))*Faktory!$D$10</f>
        <v>0</v>
      </c>
      <c r="R104" s="420">
        <f t="shared" si="59"/>
        <v>0</v>
      </c>
    </row>
    <row r="105" spans="1:18" x14ac:dyDescent="0.25">
      <c r="A105" s="740"/>
      <c r="B105" s="742"/>
      <c r="C105" s="468" t="s">
        <v>33</v>
      </c>
      <c r="D105" s="469">
        <f t="shared" si="53"/>
        <v>0</v>
      </c>
      <c r="E105" s="470">
        <f t="shared" si="54"/>
        <v>9011812.5</v>
      </c>
      <c r="F105" s="471">
        <f t="shared" si="55"/>
        <v>9011812.5</v>
      </c>
      <c r="G105" s="478">
        <v>0</v>
      </c>
      <c r="H105" s="479">
        <f>(G75+I75/2)*((G54-H54)*(1+$S$46))*Faktory!$D$10</f>
        <v>4523250</v>
      </c>
      <c r="I105" s="418">
        <f t="shared" si="56"/>
        <v>4523250</v>
      </c>
      <c r="J105" s="479">
        <v>0</v>
      </c>
      <c r="K105" s="479">
        <f>(J75+L75/2)*((J54-K54)*(1+$S$46))*Faktory!$D$10</f>
        <v>2261625</v>
      </c>
      <c r="L105" s="418">
        <f t="shared" si="57"/>
        <v>2261625</v>
      </c>
      <c r="M105" s="479">
        <v>0</v>
      </c>
      <c r="N105" s="479">
        <f>(M75+O75/2)*((M54-N54)*(1+$S$46))*Faktory!$D$10</f>
        <v>2226937.5</v>
      </c>
      <c r="O105" s="418">
        <f t="shared" si="58"/>
        <v>2226937.5</v>
      </c>
      <c r="P105" s="479">
        <v>0</v>
      </c>
      <c r="Q105" s="480">
        <f>(P75+R75/2)*((P54-Q54)*(1+$S$46))*Faktory!$D$10</f>
        <v>0</v>
      </c>
      <c r="R105" s="420">
        <f t="shared" si="59"/>
        <v>0</v>
      </c>
    </row>
    <row r="106" spans="1:18" ht="15.75" thickBot="1" x14ac:dyDescent="0.3">
      <c r="A106" s="741"/>
      <c r="B106" s="743"/>
      <c r="C106" s="481" t="s">
        <v>34</v>
      </c>
      <c r="D106" s="482">
        <f t="shared" si="53"/>
        <v>0</v>
      </c>
      <c r="E106" s="483">
        <f t="shared" si="54"/>
        <v>9143625</v>
      </c>
      <c r="F106" s="484">
        <f t="shared" si="55"/>
        <v>9143625</v>
      </c>
      <c r="G106" s="485">
        <v>0</v>
      </c>
      <c r="H106" s="486">
        <f>(G76+I76/2)*((G55-H55)*(1+$S$46))*Faktory!$D$10</f>
        <v>4301250</v>
      </c>
      <c r="I106" s="427">
        <f t="shared" si="56"/>
        <v>4301250</v>
      </c>
      <c r="J106" s="486">
        <v>0</v>
      </c>
      <c r="K106" s="486">
        <f>(J76+L76/2)*((J55-K55)*(1+$S$46))*Faktory!$D$10</f>
        <v>2150625</v>
      </c>
      <c r="L106" s="427">
        <f t="shared" si="57"/>
        <v>2150625</v>
      </c>
      <c r="M106" s="486">
        <v>0</v>
      </c>
      <c r="N106" s="486">
        <f>(M76+O76/2)*((M55-N55)*(1+$S$46))*Faktory!$D$10</f>
        <v>2691750</v>
      </c>
      <c r="O106" s="427">
        <f t="shared" si="58"/>
        <v>2691750</v>
      </c>
      <c r="P106" s="486">
        <v>0</v>
      </c>
      <c r="Q106" s="487">
        <f>(P76+R76/2)*((P55-Q55)*(1+$S$46))*Faktory!$D$10</f>
        <v>0</v>
      </c>
      <c r="R106" s="429">
        <f t="shared" si="59"/>
        <v>0</v>
      </c>
    </row>
    <row r="107" spans="1:18" x14ac:dyDescent="0.25">
      <c r="A107" s="740" t="s">
        <v>200</v>
      </c>
      <c r="B107" s="742" t="s">
        <v>13</v>
      </c>
      <c r="C107" s="468" t="s">
        <v>25</v>
      </c>
      <c r="D107" s="469">
        <f>G107+J107+M107+P107</f>
        <v>1958890</v>
      </c>
      <c r="E107" s="470">
        <f t="shared" si="54"/>
        <v>1958890</v>
      </c>
      <c r="F107" s="471">
        <f>E107-D107</f>
        <v>0</v>
      </c>
      <c r="G107" s="488">
        <f t="shared" ref="G107:H116" si="60">G6*G16</f>
        <v>1780000</v>
      </c>
      <c r="H107" s="489">
        <f t="shared" si="60"/>
        <v>1780000</v>
      </c>
      <c r="I107" s="407">
        <f>H107-G107</f>
        <v>0</v>
      </c>
      <c r="J107" s="489">
        <f t="shared" ref="J107:K116" si="61">J6*J16</f>
        <v>178000</v>
      </c>
      <c r="K107" s="489">
        <f t="shared" si="61"/>
        <v>178000</v>
      </c>
      <c r="L107" s="407">
        <f t="shared" ref="L107:L116" si="62">K107-J107</f>
        <v>0</v>
      </c>
      <c r="M107" s="489">
        <f t="shared" ref="M107:N116" si="63">M6*M16</f>
        <v>0</v>
      </c>
      <c r="N107" s="489">
        <f t="shared" si="63"/>
        <v>0</v>
      </c>
      <c r="O107" s="407">
        <f t="shared" ref="O107:O116" si="64">N107-M107</f>
        <v>0</v>
      </c>
      <c r="P107" s="489">
        <f t="shared" ref="P107:Q116" si="65">P6*P16</f>
        <v>890</v>
      </c>
      <c r="Q107" s="490">
        <f t="shared" si="65"/>
        <v>890</v>
      </c>
      <c r="R107" s="491">
        <f t="shared" ref="R107:R116" si="66">Q107-P107</f>
        <v>0</v>
      </c>
    </row>
    <row r="108" spans="1:18" x14ac:dyDescent="0.25">
      <c r="A108" s="740"/>
      <c r="B108" s="742"/>
      <c r="C108" s="468" t="s">
        <v>26</v>
      </c>
      <c r="D108" s="469">
        <f t="shared" ref="D108:D116" si="67">G108+J108+M108+P108</f>
        <v>2448568</v>
      </c>
      <c r="E108" s="470">
        <f t="shared" si="54"/>
        <v>2742268</v>
      </c>
      <c r="F108" s="471">
        <f t="shared" ref="F108:F116" si="68">E108-D108</f>
        <v>293700</v>
      </c>
      <c r="G108" s="478">
        <f t="shared" si="60"/>
        <v>2225000</v>
      </c>
      <c r="H108" s="479">
        <f t="shared" si="60"/>
        <v>2492000</v>
      </c>
      <c r="I108" s="418">
        <f t="shared" ref="I108:I116" si="69">H108-G108</f>
        <v>267000</v>
      </c>
      <c r="J108" s="479">
        <f t="shared" si="61"/>
        <v>222500</v>
      </c>
      <c r="K108" s="479">
        <f t="shared" si="61"/>
        <v>249200</v>
      </c>
      <c r="L108" s="418">
        <f t="shared" si="62"/>
        <v>26700</v>
      </c>
      <c r="M108" s="479">
        <f t="shared" si="63"/>
        <v>0</v>
      </c>
      <c r="N108" s="479">
        <f t="shared" si="63"/>
        <v>0</v>
      </c>
      <c r="O108" s="418">
        <f t="shared" si="64"/>
        <v>0</v>
      </c>
      <c r="P108" s="479">
        <f t="shared" si="65"/>
        <v>1068</v>
      </c>
      <c r="Q108" s="480">
        <f t="shared" si="65"/>
        <v>1068</v>
      </c>
      <c r="R108" s="420">
        <f t="shared" si="66"/>
        <v>0</v>
      </c>
    </row>
    <row r="109" spans="1:18" x14ac:dyDescent="0.25">
      <c r="A109" s="740"/>
      <c r="B109" s="742"/>
      <c r="C109" s="468" t="s">
        <v>27</v>
      </c>
      <c r="D109" s="469">
        <f t="shared" si="67"/>
        <v>2938068</v>
      </c>
      <c r="E109" s="470">
        <f t="shared" si="54"/>
        <v>851240</v>
      </c>
      <c r="F109" s="471">
        <f t="shared" si="68"/>
        <v>-2086828</v>
      </c>
      <c r="G109" s="478">
        <f t="shared" si="60"/>
        <v>2670000</v>
      </c>
      <c r="H109" s="479">
        <f t="shared" si="60"/>
        <v>740000</v>
      </c>
      <c r="I109" s="418">
        <f t="shared" si="69"/>
        <v>-1930000</v>
      </c>
      <c r="J109" s="479">
        <f t="shared" si="61"/>
        <v>267000</v>
      </c>
      <c r="K109" s="479">
        <f t="shared" si="61"/>
        <v>74000</v>
      </c>
      <c r="L109" s="418">
        <f t="shared" si="62"/>
        <v>-193000</v>
      </c>
      <c r="M109" s="479">
        <f t="shared" si="63"/>
        <v>0</v>
      </c>
      <c r="N109" s="479">
        <f t="shared" si="63"/>
        <v>37000</v>
      </c>
      <c r="O109" s="418">
        <f t="shared" si="64"/>
        <v>37000</v>
      </c>
      <c r="P109" s="479">
        <f t="shared" si="65"/>
        <v>1068</v>
      </c>
      <c r="Q109" s="480">
        <f t="shared" si="65"/>
        <v>240</v>
      </c>
      <c r="R109" s="420">
        <f t="shared" si="66"/>
        <v>-828</v>
      </c>
    </row>
    <row r="110" spans="1:18" x14ac:dyDescent="0.25">
      <c r="A110" s="740"/>
      <c r="B110" s="742"/>
      <c r="C110" s="468" t="s">
        <v>28</v>
      </c>
      <c r="D110" s="469">
        <f t="shared" si="67"/>
        <v>3427301</v>
      </c>
      <c r="E110" s="470">
        <f t="shared" si="54"/>
        <v>1113780</v>
      </c>
      <c r="F110" s="471">
        <f t="shared" si="68"/>
        <v>-2313521</v>
      </c>
      <c r="G110" s="478">
        <f t="shared" si="60"/>
        <v>3115000</v>
      </c>
      <c r="H110" s="479">
        <f t="shared" si="60"/>
        <v>960000</v>
      </c>
      <c r="I110" s="418">
        <f t="shared" si="69"/>
        <v>-2155000</v>
      </c>
      <c r="J110" s="479">
        <f t="shared" si="61"/>
        <v>311500</v>
      </c>
      <c r="K110" s="479">
        <f t="shared" si="61"/>
        <v>96000</v>
      </c>
      <c r="L110" s="418">
        <f t="shared" si="62"/>
        <v>-215500</v>
      </c>
      <c r="M110" s="479">
        <f t="shared" si="63"/>
        <v>0</v>
      </c>
      <c r="N110" s="479">
        <f t="shared" si="63"/>
        <v>57600</v>
      </c>
      <c r="O110" s="418">
        <f t="shared" si="64"/>
        <v>57600</v>
      </c>
      <c r="P110" s="479">
        <f t="shared" si="65"/>
        <v>801</v>
      </c>
      <c r="Q110" s="480">
        <f t="shared" si="65"/>
        <v>180</v>
      </c>
      <c r="R110" s="420">
        <f t="shared" si="66"/>
        <v>-621</v>
      </c>
    </row>
    <row r="111" spans="1:18" x14ac:dyDescent="0.25">
      <c r="A111" s="740"/>
      <c r="B111" s="742"/>
      <c r="C111" s="468" t="s">
        <v>29</v>
      </c>
      <c r="D111" s="469">
        <f t="shared" si="67"/>
        <v>3916534</v>
      </c>
      <c r="E111" s="470">
        <f t="shared" si="54"/>
        <v>1392420</v>
      </c>
      <c r="F111" s="471">
        <f t="shared" si="68"/>
        <v>-2524114</v>
      </c>
      <c r="G111" s="478">
        <f t="shared" si="60"/>
        <v>3560000</v>
      </c>
      <c r="H111" s="479">
        <f t="shared" si="60"/>
        <v>1190000</v>
      </c>
      <c r="I111" s="418">
        <f t="shared" si="69"/>
        <v>-2370000</v>
      </c>
      <c r="J111" s="479">
        <f t="shared" si="61"/>
        <v>356000</v>
      </c>
      <c r="K111" s="479">
        <f t="shared" si="61"/>
        <v>119000</v>
      </c>
      <c r="L111" s="418">
        <f t="shared" si="62"/>
        <v>-237000</v>
      </c>
      <c r="M111" s="479">
        <f t="shared" si="63"/>
        <v>0</v>
      </c>
      <c r="N111" s="479">
        <f t="shared" si="63"/>
        <v>83300.000000000015</v>
      </c>
      <c r="O111" s="418">
        <f t="shared" si="64"/>
        <v>83300.000000000015</v>
      </c>
      <c r="P111" s="479">
        <f t="shared" si="65"/>
        <v>534</v>
      </c>
      <c r="Q111" s="480">
        <f t="shared" si="65"/>
        <v>120</v>
      </c>
      <c r="R111" s="420">
        <f t="shared" si="66"/>
        <v>-414</v>
      </c>
    </row>
    <row r="112" spans="1:18" x14ac:dyDescent="0.25">
      <c r="A112" s="740"/>
      <c r="B112" s="742"/>
      <c r="C112" s="468" t="s">
        <v>30</v>
      </c>
      <c r="D112" s="469">
        <f t="shared" si="67"/>
        <v>4405945</v>
      </c>
      <c r="E112" s="470">
        <f t="shared" si="54"/>
        <v>1699300</v>
      </c>
      <c r="F112" s="471">
        <f t="shared" si="68"/>
        <v>-2706645</v>
      </c>
      <c r="G112" s="478">
        <f t="shared" si="60"/>
        <v>4005000</v>
      </c>
      <c r="H112" s="479">
        <f t="shared" si="60"/>
        <v>1440000</v>
      </c>
      <c r="I112" s="418">
        <f t="shared" si="69"/>
        <v>-2565000</v>
      </c>
      <c r="J112" s="479">
        <f t="shared" si="61"/>
        <v>400500</v>
      </c>
      <c r="K112" s="479">
        <f t="shared" si="61"/>
        <v>144000</v>
      </c>
      <c r="L112" s="418">
        <f t="shared" si="62"/>
        <v>-256500</v>
      </c>
      <c r="M112" s="479">
        <f t="shared" si="63"/>
        <v>0</v>
      </c>
      <c r="N112" s="479">
        <f t="shared" si="63"/>
        <v>115200</v>
      </c>
      <c r="O112" s="418">
        <f t="shared" si="64"/>
        <v>115200</v>
      </c>
      <c r="P112" s="479">
        <f t="shared" si="65"/>
        <v>445</v>
      </c>
      <c r="Q112" s="480">
        <f t="shared" si="65"/>
        <v>100</v>
      </c>
      <c r="R112" s="420">
        <f t="shared" si="66"/>
        <v>-345</v>
      </c>
    </row>
    <row r="113" spans="1:19" x14ac:dyDescent="0.25">
      <c r="A113" s="740"/>
      <c r="B113" s="742"/>
      <c r="C113" s="468" t="s">
        <v>31</v>
      </c>
      <c r="D113" s="469">
        <f t="shared" si="67"/>
        <v>4895356</v>
      </c>
      <c r="E113" s="470">
        <f t="shared" si="54"/>
        <v>2011180</v>
      </c>
      <c r="F113" s="471">
        <f t="shared" si="68"/>
        <v>-2884176</v>
      </c>
      <c r="G113" s="478">
        <f t="shared" si="60"/>
        <v>4450000</v>
      </c>
      <c r="H113" s="479">
        <f t="shared" si="60"/>
        <v>1690000</v>
      </c>
      <c r="I113" s="418">
        <f t="shared" si="69"/>
        <v>-2760000</v>
      </c>
      <c r="J113" s="479">
        <f t="shared" si="61"/>
        <v>445000</v>
      </c>
      <c r="K113" s="479">
        <f t="shared" si="61"/>
        <v>169000</v>
      </c>
      <c r="L113" s="418">
        <f t="shared" si="62"/>
        <v>-276000</v>
      </c>
      <c r="M113" s="479">
        <f t="shared" si="63"/>
        <v>0</v>
      </c>
      <c r="N113" s="479">
        <f t="shared" si="63"/>
        <v>152100</v>
      </c>
      <c r="O113" s="418">
        <f t="shared" si="64"/>
        <v>152100</v>
      </c>
      <c r="P113" s="479">
        <f t="shared" si="65"/>
        <v>356</v>
      </c>
      <c r="Q113" s="480">
        <f t="shared" si="65"/>
        <v>80</v>
      </c>
      <c r="R113" s="420">
        <f t="shared" si="66"/>
        <v>-276</v>
      </c>
    </row>
    <row r="114" spans="1:19" x14ac:dyDescent="0.25">
      <c r="A114" s="740"/>
      <c r="B114" s="742"/>
      <c r="C114" s="468" t="s">
        <v>32</v>
      </c>
      <c r="D114" s="469">
        <f t="shared" si="67"/>
        <v>5189056</v>
      </c>
      <c r="E114" s="470">
        <f t="shared" si="54"/>
        <v>2304080</v>
      </c>
      <c r="F114" s="471">
        <f t="shared" si="68"/>
        <v>-2884976</v>
      </c>
      <c r="G114" s="478">
        <f t="shared" si="60"/>
        <v>4717000</v>
      </c>
      <c r="H114" s="479">
        <f t="shared" si="60"/>
        <v>1920000</v>
      </c>
      <c r="I114" s="418">
        <f t="shared" si="69"/>
        <v>-2797000</v>
      </c>
      <c r="J114" s="479">
        <f t="shared" si="61"/>
        <v>471700</v>
      </c>
      <c r="K114" s="479">
        <f t="shared" si="61"/>
        <v>192000</v>
      </c>
      <c r="L114" s="418">
        <f t="shared" si="62"/>
        <v>-279700</v>
      </c>
      <c r="M114" s="479">
        <f t="shared" si="63"/>
        <v>0</v>
      </c>
      <c r="N114" s="479">
        <f t="shared" si="63"/>
        <v>192000</v>
      </c>
      <c r="O114" s="418">
        <f t="shared" si="64"/>
        <v>192000</v>
      </c>
      <c r="P114" s="479">
        <f t="shared" si="65"/>
        <v>356</v>
      </c>
      <c r="Q114" s="480">
        <f t="shared" si="65"/>
        <v>80</v>
      </c>
      <c r="R114" s="420">
        <f t="shared" si="66"/>
        <v>-276</v>
      </c>
    </row>
    <row r="115" spans="1:19" x14ac:dyDescent="0.25">
      <c r="A115" s="740"/>
      <c r="B115" s="742"/>
      <c r="C115" s="468" t="s">
        <v>33</v>
      </c>
      <c r="D115" s="469">
        <f t="shared" si="67"/>
        <v>5482756</v>
      </c>
      <c r="E115" s="470">
        <f t="shared" si="54"/>
        <v>2675080</v>
      </c>
      <c r="F115" s="471">
        <f t="shared" si="68"/>
        <v>-2807676</v>
      </c>
      <c r="G115" s="478">
        <f t="shared" si="60"/>
        <v>4984000</v>
      </c>
      <c r="H115" s="479">
        <f t="shared" si="60"/>
        <v>2140000</v>
      </c>
      <c r="I115" s="418">
        <f t="shared" si="69"/>
        <v>-2844000</v>
      </c>
      <c r="J115" s="479">
        <f t="shared" si="61"/>
        <v>498400</v>
      </c>
      <c r="K115" s="479">
        <f t="shared" si="61"/>
        <v>214000</v>
      </c>
      <c r="L115" s="418">
        <f t="shared" si="62"/>
        <v>-284400</v>
      </c>
      <c r="M115" s="479">
        <f t="shared" si="63"/>
        <v>0</v>
      </c>
      <c r="N115" s="479">
        <f t="shared" si="63"/>
        <v>321000</v>
      </c>
      <c r="O115" s="418">
        <f t="shared" si="64"/>
        <v>321000</v>
      </c>
      <c r="P115" s="479">
        <f t="shared" si="65"/>
        <v>356</v>
      </c>
      <c r="Q115" s="480">
        <f t="shared" si="65"/>
        <v>80</v>
      </c>
      <c r="R115" s="420">
        <f t="shared" si="66"/>
        <v>-276</v>
      </c>
    </row>
    <row r="116" spans="1:19" ht="15.75" thickBot="1" x14ac:dyDescent="0.3">
      <c r="A116" s="741"/>
      <c r="B116" s="743"/>
      <c r="C116" s="481" t="s">
        <v>34</v>
      </c>
      <c r="D116" s="482">
        <f t="shared" si="67"/>
        <v>5678556</v>
      </c>
      <c r="E116" s="483">
        <f t="shared" si="54"/>
        <v>2522080</v>
      </c>
      <c r="F116" s="484">
        <f t="shared" si="68"/>
        <v>-3156476</v>
      </c>
      <c r="G116" s="485">
        <f t="shared" si="60"/>
        <v>5162000</v>
      </c>
      <c r="H116" s="486">
        <f t="shared" si="60"/>
        <v>1940000</v>
      </c>
      <c r="I116" s="427">
        <f t="shared" si="69"/>
        <v>-3222000</v>
      </c>
      <c r="J116" s="486">
        <f t="shared" si="61"/>
        <v>516200</v>
      </c>
      <c r="K116" s="486">
        <f t="shared" si="61"/>
        <v>194000</v>
      </c>
      <c r="L116" s="427">
        <f t="shared" si="62"/>
        <v>-322200</v>
      </c>
      <c r="M116" s="486">
        <f t="shared" si="63"/>
        <v>0</v>
      </c>
      <c r="N116" s="486">
        <f t="shared" si="63"/>
        <v>388000</v>
      </c>
      <c r="O116" s="427">
        <f t="shared" si="64"/>
        <v>388000</v>
      </c>
      <c r="P116" s="486">
        <f t="shared" si="65"/>
        <v>356</v>
      </c>
      <c r="Q116" s="487">
        <f t="shared" si="65"/>
        <v>80</v>
      </c>
      <c r="R116" s="429">
        <f t="shared" si="66"/>
        <v>-276</v>
      </c>
    </row>
    <row r="117" spans="1:19" x14ac:dyDescent="0.25">
      <c r="A117" s="740" t="s">
        <v>195</v>
      </c>
      <c r="B117" s="742" t="s">
        <v>13</v>
      </c>
      <c r="C117" s="468" t="s">
        <v>25</v>
      </c>
      <c r="D117" s="469">
        <f>G117+J117+M117+P117</f>
        <v>2201000</v>
      </c>
      <c r="E117" s="470">
        <f>H117+K117+N117+Q117</f>
        <v>2201000</v>
      </c>
      <c r="F117" s="471">
        <f>I117+L117+O117+R117</f>
        <v>0</v>
      </c>
      <c r="G117" s="488">
        <f t="shared" ref="G117:H126" si="70">G6*G26</f>
        <v>2000000</v>
      </c>
      <c r="H117" s="489">
        <f t="shared" si="70"/>
        <v>2000000</v>
      </c>
      <c r="I117" s="407">
        <f>H117-G117</f>
        <v>0</v>
      </c>
      <c r="J117" s="489">
        <f t="shared" ref="J117:K126" si="71">J6*J26</f>
        <v>200000</v>
      </c>
      <c r="K117" s="489">
        <f t="shared" si="71"/>
        <v>200000</v>
      </c>
      <c r="L117" s="407">
        <f>K117-J117</f>
        <v>0</v>
      </c>
      <c r="M117" s="489">
        <f t="shared" ref="M117:N126" si="72">M6*M26</f>
        <v>0</v>
      </c>
      <c r="N117" s="489">
        <f t="shared" si="72"/>
        <v>0</v>
      </c>
      <c r="O117" s="407">
        <f>N117-M117</f>
        <v>0</v>
      </c>
      <c r="P117" s="489">
        <f t="shared" ref="P117:Q126" si="73">P6*P26</f>
        <v>1000</v>
      </c>
      <c r="Q117" s="490">
        <f t="shared" si="73"/>
        <v>1000</v>
      </c>
      <c r="R117" s="491">
        <f>Q117-P117</f>
        <v>0</v>
      </c>
    </row>
    <row r="118" spans="1:19" x14ac:dyDescent="0.25">
      <c r="A118" s="740"/>
      <c r="B118" s="742"/>
      <c r="C118" s="468" t="s">
        <v>26</v>
      </c>
      <c r="D118" s="469">
        <f t="shared" ref="D118:D126" si="74">G118+J118+M118+P118</f>
        <v>2751200</v>
      </c>
      <c r="E118" s="470">
        <f t="shared" ref="E118:E126" si="75">H118+K118+N118+Q118</f>
        <v>3081200</v>
      </c>
      <c r="F118" s="471">
        <f t="shared" ref="F118:F126" si="76">I118+L118+O118+R118</f>
        <v>330000</v>
      </c>
      <c r="G118" s="478">
        <f t="shared" si="70"/>
        <v>2500000</v>
      </c>
      <c r="H118" s="479">
        <f t="shared" si="70"/>
        <v>2800000</v>
      </c>
      <c r="I118" s="418">
        <f t="shared" ref="I118:I126" si="77">H118-G118</f>
        <v>300000</v>
      </c>
      <c r="J118" s="479">
        <f t="shared" si="71"/>
        <v>250000</v>
      </c>
      <c r="K118" s="479">
        <f t="shared" si="71"/>
        <v>280000</v>
      </c>
      <c r="L118" s="418">
        <f t="shared" ref="L118:L126" si="78">K118-J118</f>
        <v>30000</v>
      </c>
      <c r="M118" s="479">
        <f t="shared" si="72"/>
        <v>0</v>
      </c>
      <c r="N118" s="479">
        <f t="shared" si="72"/>
        <v>0</v>
      </c>
      <c r="O118" s="418">
        <f t="shared" ref="O118:O126" si="79">N118-M118</f>
        <v>0</v>
      </c>
      <c r="P118" s="479">
        <f t="shared" si="73"/>
        <v>1200</v>
      </c>
      <c r="Q118" s="480">
        <f t="shared" si="73"/>
        <v>1200</v>
      </c>
      <c r="R118" s="420">
        <f t="shared" ref="R118:R126" si="80">Q118-P118</f>
        <v>0</v>
      </c>
    </row>
    <row r="119" spans="1:19" x14ac:dyDescent="0.25">
      <c r="A119" s="740"/>
      <c r="B119" s="742"/>
      <c r="C119" s="468" t="s">
        <v>27</v>
      </c>
      <c r="D119" s="469">
        <f t="shared" si="74"/>
        <v>3301200</v>
      </c>
      <c r="E119" s="470">
        <f t="shared" si="75"/>
        <v>2128100</v>
      </c>
      <c r="F119" s="471">
        <f t="shared" si="76"/>
        <v>-1173100</v>
      </c>
      <c r="G119" s="478">
        <f t="shared" si="70"/>
        <v>3000000</v>
      </c>
      <c r="H119" s="479">
        <f t="shared" si="70"/>
        <v>1850000</v>
      </c>
      <c r="I119" s="418">
        <f t="shared" si="77"/>
        <v>-1150000</v>
      </c>
      <c r="J119" s="479">
        <f t="shared" si="71"/>
        <v>300000</v>
      </c>
      <c r="K119" s="479">
        <f t="shared" si="71"/>
        <v>185000</v>
      </c>
      <c r="L119" s="418">
        <f t="shared" si="78"/>
        <v>-115000</v>
      </c>
      <c r="M119" s="479">
        <f t="shared" si="72"/>
        <v>0</v>
      </c>
      <c r="N119" s="479">
        <f t="shared" si="72"/>
        <v>92500</v>
      </c>
      <c r="O119" s="418">
        <f t="shared" si="79"/>
        <v>92500</v>
      </c>
      <c r="P119" s="479">
        <f t="shared" si="73"/>
        <v>1200</v>
      </c>
      <c r="Q119" s="480">
        <f t="shared" si="73"/>
        <v>600</v>
      </c>
      <c r="R119" s="420">
        <f t="shared" si="80"/>
        <v>-600</v>
      </c>
    </row>
    <row r="120" spans="1:19" x14ac:dyDescent="0.25">
      <c r="A120" s="740"/>
      <c r="B120" s="742"/>
      <c r="C120" s="468" t="s">
        <v>28</v>
      </c>
      <c r="D120" s="469">
        <f t="shared" si="74"/>
        <v>3850900</v>
      </c>
      <c r="E120" s="470">
        <f t="shared" si="75"/>
        <v>2784450</v>
      </c>
      <c r="F120" s="471">
        <f t="shared" si="76"/>
        <v>-1066450</v>
      </c>
      <c r="G120" s="478">
        <f t="shared" si="70"/>
        <v>3500000</v>
      </c>
      <c r="H120" s="479">
        <f t="shared" si="70"/>
        <v>2400000</v>
      </c>
      <c r="I120" s="418">
        <f t="shared" si="77"/>
        <v>-1100000</v>
      </c>
      <c r="J120" s="479">
        <f t="shared" si="71"/>
        <v>350000</v>
      </c>
      <c r="K120" s="479">
        <f t="shared" si="71"/>
        <v>240000</v>
      </c>
      <c r="L120" s="418">
        <f t="shared" si="78"/>
        <v>-110000</v>
      </c>
      <c r="M120" s="479">
        <f t="shared" si="72"/>
        <v>0</v>
      </c>
      <c r="N120" s="479">
        <f t="shared" si="72"/>
        <v>144000</v>
      </c>
      <c r="O120" s="418">
        <f t="shared" si="79"/>
        <v>144000</v>
      </c>
      <c r="P120" s="479">
        <f t="shared" si="73"/>
        <v>900</v>
      </c>
      <c r="Q120" s="480">
        <f t="shared" si="73"/>
        <v>450</v>
      </c>
      <c r="R120" s="420">
        <f t="shared" si="80"/>
        <v>-450</v>
      </c>
    </row>
    <row r="121" spans="1:19" x14ac:dyDescent="0.25">
      <c r="A121" s="740"/>
      <c r="B121" s="742"/>
      <c r="C121" s="468" t="s">
        <v>29</v>
      </c>
      <c r="D121" s="469">
        <f t="shared" si="74"/>
        <v>4400600</v>
      </c>
      <c r="E121" s="470">
        <f t="shared" si="75"/>
        <v>3481050</v>
      </c>
      <c r="F121" s="471">
        <f t="shared" si="76"/>
        <v>-919550</v>
      </c>
      <c r="G121" s="478">
        <f t="shared" si="70"/>
        <v>4000000</v>
      </c>
      <c r="H121" s="479">
        <f t="shared" si="70"/>
        <v>2975000</v>
      </c>
      <c r="I121" s="418">
        <f t="shared" si="77"/>
        <v>-1025000</v>
      </c>
      <c r="J121" s="479">
        <f t="shared" si="71"/>
        <v>400000</v>
      </c>
      <c r="K121" s="479">
        <f t="shared" si="71"/>
        <v>297500</v>
      </c>
      <c r="L121" s="418">
        <f t="shared" si="78"/>
        <v>-102500</v>
      </c>
      <c r="M121" s="479">
        <f t="shared" si="72"/>
        <v>0</v>
      </c>
      <c r="N121" s="479">
        <f t="shared" si="72"/>
        <v>208250.00000000003</v>
      </c>
      <c r="O121" s="418">
        <f t="shared" si="79"/>
        <v>208250.00000000003</v>
      </c>
      <c r="P121" s="479">
        <f t="shared" si="73"/>
        <v>600</v>
      </c>
      <c r="Q121" s="480">
        <f t="shared" si="73"/>
        <v>300</v>
      </c>
      <c r="R121" s="420">
        <f t="shared" si="80"/>
        <v>-300</v>
      </c>
    </row>
    <row r="122" spans="1:19" x14ac:dyDescent="0.25">
      <c r="A122" s="740"/>
      <c r="B122" s="742"/>
      <c r="C122" s="468" t="s">
        <v>30</v>
      </c>
      <c r="D122" s="469">
        <f t="shared" si="74"/>
        <v>4950500</v>
      </c>
      <c r="E122" s="470">
        <f t="shared" si="75"/>
        <v>4248250</v>
      </c>
      <c r="F122" s="471">
        <f t="shared" si="76"/>
        <v>-702250</v>
      </c>
      <c r="G122" s="478">
        <f t="shared" si="70"/>
        <v>4500000</v>
      </c>
      <c r="H122" s="479">
        <f t="shared" si="70"/>
        <v>3600000</v>
      </c>
      <c r="I122" s="418">
        <f t="shared" si="77"/>
        <v>-900000</v>
      </c>
      <c r="J122" s="479">
        <f t="shared" si="71"/>
        <v>450000</v>
      </c>
      <c r="K122" s="479">
        <f t="shared" si="71"/>
        <v>360000</v>
      </c>
      <c r="L122" s="418">
        <f t="shared" si="78"/>
        <v>-90000</v>
      </c>
      <c r="M122" s="479">
        <f t="shared" si="72"/>
        <v>0</v>
      </c>
      <c r="N122" s="479">
        <f t="shared" si="72"/>
        <v>288000</v>
      </c>
      <c r="O122" s="418">
        <f t="shared" si="79"/>
        <v>288000</v>
      </c>
      <c r="P122" s="479">
        <f t="shared" si="73"/>
        <v>500</v>
      </c>
      <c r="Q122" s="480">
        <f t="shared" si="73"/>
        <v>250</v>
      </c>
      <c r="R122" s="420">
        <f t="shared" si="80"/>
        <v>-250</v>
      </c>
    </row>
    <row r="123" spans="1:19" x14ac:dyDescent="0.25">
      <c r="A123" s="740"/>
      <c r="B123" s="742"/>
      <c r="C123" s="468" t="s">
        <v>31</v>
      </c>
      <c r="D123" s="469">
        <f t="shared" si="74"/>
        <v>5500400</v>
      </c>
      <c r="E123" s="470">
        <f t="shared" si="75"/>
        <v>5027950</v>
      </c>
      <c r="F123" s="471">
        <f t="shared" si="76"/>
        <v>-472450</v>
      </c>
      <c r="G123" s="478">
        <f t="shared" si="70"/>
        <v>5000000</v>
      </c>
      <c r="H123" s="479">
        <f t="shared" si="70"/>
        <v>4225000</v>
      </c>
      <c r="I123" s="418">
        <f t="shared" si="77"/>
        <v>-775000</v>
      </c>
      <c r="J123" s="479">
        <f t="shared" si="71"/>
        <v>500000</v>
      </c>
      <c r="K123" s="479">
        <f t="shared" si="71"/>
        <v>422500</v>
      </c>
      <c r="L123" s="418">
        <f t="shared" si="78"/>
        <v>-77500</v>
      </c>
      <c r="M123" s="479">
        <f t="shared" si="72"/>
        <v>0</v>
      </c>
      <c r="N123" s="479">
        <f t="shared" si="72"/>
        <v>380250</v>
      </c>
      <c r="O123" s="418">
        <f t="shared" si="79"/>
        <v>380250</v>
      </c>
      <c r="P123" s="479">
        <f t="shared" si="73"/>
        <v>400</v>
      </c>
      <c r="Q123" s="480">
        <f t="shared" si="73"/>
        <v>200</v>
      </c>
      <c r="R123" s="420">
        <f t="shared" si="80"/>
        <v>-200</v>
      </c>
    </row>
    <row r="124" spans="1:19" x14ac:dyDescent="0.25">
      <c r="A124" s="740"/>
      <c r="B124" s="742"/>
      <c r="C124" s="468" t="s">
        <v>32</v>
      </c>
      <c r="D124" s="469">
        <f t="shared" si="74"/>
        <v>5830400</v>
      </c>
      <c r="E124" s="470">
        <f t="shared" si="75"/>
        <v>5760200</v>
      </c>
      <c r="F124" s="471">
        <f t="shared" si="76"/>
        <v>-70200</v>
      </c>
      <c r="G124" s="478">
        <f t="shared" si="70"/>
        <v>5300000</v>
      </c>
      <c r="H124" s="479">
        <f t="shared" si="70"/>
        <v>4800000</v>
      </c>
      <c r="I124" s="418">
        <f t="shared" si="77"/>
        <v>-500000</v>
      </c>
      <c r="J124" s="479">
        <f t="shared" si="71"/>
        <v>530000</v>
      </c>
      <c r="K124" s="479">
        <f t="shared" si="71"/>
        <v>480000</v>
      </c>
      <c r="L124" s="418">
        <f t="shared" si="78"/>
        <v>-50000</v>
      </c>
      <c r="M124" s="479">
        <f t="shared" si="72"/>
        <v>0</v>
      </c>
      <c r="N124" s="479">
        <f t="shared" si="72"/>
        <v>480000</v>
      </c>
      <c r="O124" s="418">
        <f t="shared" si="79"/>
        <v>480000</v>
      </c>
      <c r="P124" s="479">
        <f t="shared" si="73"/>
        <v>400</v>
      </c>
      <c r="Q124" s="480">
        <f t="shared" si="73"/>
        <v>200</v>
      </c>
      <c r="R124" s="420">
        <f t="shared" si="80"/>
        <v>-200</v>
      </c>
    </row>
    <row r="125" spans="1:19" x14ac:dyDescent="0.25">
      <c r="A125" s="740"/>
      <c r="B125" s="742"/>
      <c r="C125" s="468" t="s">
        <v>33</v>
      </c>
      <c r="D125" s="469">
        <f t="shared" si="74"/>
        <v>6160400</v>
      </c>
      <c r="E125" s="470">
        <f t="shared" si="75"/>
        <v>6687700</v>
      </c>
      <c r="F125" s="471">
        <f t="shared" si="76"/>
        <v>527300</v>
      </c>
      <c r="G125" s="478">
        <f t="shared" si="70"/>
        <v>5600000</v>
      </c>
      <c r="H125" s="479">
        <f t="shared" si="70"/>
        <v>5350000</v>
      </c>
      <c r="I125" s="418">
        <f t="shared" si="77"/>
        <v>-250000</v>
      </c>
      <c r="J125" s="479">
        <f t="shared" si="71"/>
        <v>560000</v>
      </c>
      <c r="K125" s="479">
        <f t="shared" si="71"/>
        <v>535000</v>
      </c>
      <c r="L125" s="418">
        <f t="shared" si="78"/>
        <v>-25000</v>
      </c>
      <c r="M125" s="479">
        <f t="shared" si="72"/>
        <v>0</v>
      </c>
      <c r="N125" s="479">
        <f t="shared" si="72"/>
        <v>802500</v>
      </c>
      <c r="O125" s="418">
        <f t="shared" si="79"/>
        <v>802500</v>
      </c>
      <c r="P125" s="479">
        <f t="shared" si="73"/>
        <v>400</v>
      </c>
      <c r="Q125" s="480">
        <f t="shared" si="73"/>
        <v>200</v>
      </c>
      <c r="R125" s="420">
        <f t="shared" si="80"/>
        <v>-200</v>
      </c>
    </row>
    <row r="126" spans="1:19" ht="15.75" thickBot="1" x14ac:dyDescent="0.3">
      <c r="A126" s="741"/>
      <c r="B126" s="743"/>
      <c r="C126" s="481" t="s">
        <v>34</v>
      </c>
      <c r="D126" s="482">
        <f t="shared" si="74"/>
        <v>6380400</v>
      </c>
      <c r="E126" s="483">
        <f t="shared" si="75"/>
        <v>6305200</v>
      </c>
      <c r="F126" s="484">
        <f t="shared" si="76"/>
        <v>-75200</v>
      </c>
      <c r="G126" s="485">
        <f t="shared" si="70"/>
        <v>5800000</v>
      </c>
      <c r="H126" s="486">
        <f t="shared" si="70"/>
        <v>4850000</v>
      </c>
      <c r="I126" s="427">
        <f t="shared" si="77"/>
        <v>-950000</v>
      </c>
      <c r="J126" s="486">
        <f t="shared" si="71"/>
        <v>580000</v>
      </c>
      <c r="K126" s="486">
        <f t="shared" si="71"/>
        <v>485000</v>
      </c>
      <c r="L126" s="427">
        <f t="shared" si="78"/>
        <v>-95000</v>
      </c>
      <c r="M126" s="486">
        <f t="shared" si="72"/>
        <v>0</v>
      </c>
      <c r="N126" s="486">
        <f t="shared" si="72"/>
        <v>970000</v>
      </c>
      <c r="O126" s="427">
        <f t="shared" si="79"/>
        <v>970000</v>
      </c>
      <c r="P126" s="486">
        <f t="shared" si="73"/>
        <v>400</v>
      </c>
      <c r="Q126" s="487">
        <f t="shared" si="73"/>
        <v>200</v>
      </c>
      <c r="R126" s="429">
        <f t="shared" si="80"/>
        <v>-200</v>
      </c>
    </row>
    <row r="127" spans="1:19" x14ac:dyDescent="0.25">
      <c r="A127" s="740" t="s">
        <v>39</v>
      </c>
      <c r="B127" s="742" t="s">
        <v>13</v>
      </c>
      <c r="C127" s="468" t="s">
        <v>25</v>
      </c>
      <c r="D127" s="469">
        <f>G127+J127+M127+P127</f>
        <v>0</v>
      </c>
      <c r="E127" s="470">
        <f>H127+K127+N127+Q127</f>
        <v>0</v>
      </c>
      <c r="F127" s="471">
        <f>I127+L127+O127+R127</f>
        <v>0</v>
      </c>
      <c r="G127" s="488">
        <f>G56</f>
        <v>0</v>
      </c>
      <c r="H127" s="489">
        <f>H56*(1+$S$127)</f>
        <v>0</v>
      </c>
      <c r="I127" s="407">
        <f>H127-G127</f>
        <v>0</v>
      </c>
      <c r="J127" s="489">
        <f t="shared" ref="J127:J136" si="81">J56</f>
        <v>0</v>
      </c>
      <c r="K127" s="489">
        <f t="shared" ref="K127:K136" si="82">K56*(1+$S$127)</f>
        <v>0</v>
      </c>
      <c r="L127" s="407">
        <f>K127-J127</f>
        <v>0</v>
      </c>
      <c r="M127" s="489">
        <f t="shared" ref="M127:M136" si="83">M56</f>
        <v>0</v>
      </c>
      <c r="N127" s="489">
        <f t="shared" ref="N127:N136" si="84">N56*(1+$S$127)</f>
        <v>0</v>
      </c>
      <c r="O127" s="407">
        <f>N127-M127</f>
        <v>0</v>
      </c>
      <c r="P127" s="489">
        <f t="shared" ref="P127:P136" si="85">P56</f>
        <v>0</v>
      </c>
      <c r="Q127" s="490">
        <f t="shared" ref="Q127:Q136" si="86">Q56*(1+$S$127)</f>
        <v>0</v>
      </c>
      <c r="R127" s="491">
        <f>Q127-P127</f>
        <v>0</v>
      </c>
      <c r="S127" s="410">
        <f>'Analyza citlivosti - AgendovéIS'!H7</f>
        <v>0</v>
      </c>
    </row>
    <row r="128" spans="1:19" x14ac:dyDescent="0.25">
      <c r="A128" s="740"/>
      <c r="B128" s="742"/>
      <c r="C128" s="468" t="s">
        <v>26</v>
      </c>
      <c r="D128" s="469">
        <f t="shared" ref="D128:D136" si="87">G128+J128+M128+P128</f>
        <v>0</v>
      </c>
      <c r="E128" s="470">
        <f t="shared" ref="E128:E136" si="88">H128+K128+N128+Q128</f>
        <v>0</v>
      </c>
      <c r="F128" s="471">
        <f t="shared" ref="F128:F136" si="89">I128+L128+O128+R128</f>
        <v>0</v>
      </c>
      <c r="G128" s="478">
        <f t="shared" ref="G128:G136" si="90">G57</f>
        <v>0</v>
      </c>
      <c r="H128" s="479">
        <f t="shared" ref="H128:H136" si="91">H57*(1+$S$127)</f>
        <v>0</v>
      </c>
      <c r="I128" s="418">
        <f t="shared" ref="I128:I136" si="92">H128-G128</f>
        <v>0</v>
      </c>
      <c r="J128" s="479">
        <f t="shared" si="81"/>
        <v>0</v>
      </c>
      <c r="K128" s="479">
        <f t="shared" si="82"/>
        <v>0</v>
      </c>
      <c r="L128" s="418">
        <f t="shared" ref="L128:L136" si="93">K128-J128</f>
        <v>0</v>
      </c>
      <c r="M128" s="479">
        <f t="shared" si="83"/>
        <v>0</v>
      </c>
      <c r="N128" s="479">
        <f t="shared" si="84"/>
        <v>0</v>
      </c>
      <c r="O128" s="418">
        <f t="shared" ref="O128:O136" si="94">N128-M128</f>
        <v>0</v>
      </c>
      <c r="P128" s="479">
        <f t="shared" si="85"/>
        <v>0</v>
      </c>
      <c r="Q128" s="480">
        <f t="shared" si="86"/>
        <v>0</v>
      </c>
      <c r="R128" s="420">
        <f t="shared" ref="R128:R136" si="95">Q128-P128</f>
        <v>0</v>
      </c>
    </row>
    <row r="129" spans="1:18" x14ac:dyDescent="0.25">
      <c r="A129" s="740"/>
      <c r="B129" s="742"/>
      <c r="C129" s="468" t="s">
        <v>27</v>
      </c>
      <c r="D129" s="469">
        <f t="shared" si="87"/>
        <v>0</v>
      </c>
      <c r="E129" s="470">
        <f t="shared" si="88"/>
        <v>0</v>
      </c>
      <c r="F129" s="471">
        <f t="shared" si="89"/>
        <v>0</v>
      </c>
      <c r="G129" s="478">
        <f t="shared" si="90"/>
        <v>0</v>
      </c>
      <c r="H129" s="479">
        <f t="shared" si="91"/>
        <v>0</v>
      </c>
      <c r="I129" s="418">
        <f t="shared" si="92"/>
        <v>0</v>
      </c>
      <c r="J129" s="479">
        <f t="shared" si="81"/>
        <v>0</v>
      </c>
      <c r="K129" s="479">
        <f t="shared" si="82"/>
        <v>0</v>
      </c>
      <c r="L129" s="418">
        <f t="shared" si="93"/>
        <v>0</v>
      </c>
      <c r="M129" s="479">
        <f t="shared" si="83"/>
        <v>0</v>
      </c>
      <c r="N129" s="479">
        <f t="shared" si="84"/>
        <v>0</v>
      </c>
      <c r="O129" s="418">
        <f t="shared" si="94"/>
        <v>0</v>
      </c>
      <c r="P129" s="479">
        <f t="shared" si="85"/>
        <v>0</v>
      </c>
      <c r="Q129" s="480">
        <f t="shared" si="86"/>
        <v>0</v>
      </c>
      <c r="R129" s="420">
        <f t="shared" si="95"/>
        <v>0</v>
      </c>
    </row>
    <row r="130" spans="1:18" x14ac:dyDescent="0.25">
      <c r="A130" s="740"/>
      <c r="B130" s="742"/>
      <c r="C130" s="468" t="s">
        <v>28</v>
      </c>
      <c r="D130" s="469">
        <f t="shared" si="87"/>
        <v>0</v>
      </c>
      <c r="E130" s="470">
        <f t="shared" si="88"/>
        <v>0</v>
      </c>
      <c r="F130" s="471">
        <f t="shared" si="89"/>
        <v>0</v>
      </c>
      <c r="G130" s="478">
        <f t="shared" si="90"/>
        <v>0</v>
      </c>
      <c r="H130" s="479">
        <f t="shared" si="91"/>
        <v>0</v>
      </c>
      <c r="I130" s="418">
        <f t="shared" si="92"/>
        <v>0</v>
      </c>
      <c r="J130" s="479">
        <f t="shared" si="81"/>
        <v>0</v>
      </c>
      <c r="K130" s="479">
        <f t="shared" si="82"/>
        <v>0</v>
      </c>
      <c r="L130" s="418">
        <f t="shared" si="93"/>
        <v>0</v>
      </c>
      <c r="M130" s="479">
        <f t="shared" si="83"/>
        <v>0</v>
      </c>
      <c r="N130" s="479">
        <f t="shared" si="84"/>
        <v>0</v>
      </c>
      <c r="O130" s="418">
        <f t="shared" si="94"/>
        <v>0</v>
      </c>
      <c r="P130" s="479">
        <f t="shared" si="85"/>
        <v>0</v>
      </c>
      <c r="Q130" s="480">
        <f t="shared" si="86"/>
        <v>0</v>
      </c>
      <c r="R130" s="420">
        <f t="shared" si="95"/>
        <v>0</v>
      </c>
    </row>
    <row r="131" spans="1:18" x14ac:dyDescent="0.25">
      <c r="A131" s="740"/>
      <c r="B131" s="742"/>
      <c r="C131" s="468" t="s">
        <v>29</v>
      </c>
      <c r="D131" s="469">
        <f t="shared" si="87"/>
        <v>0</v>
      </c>
      <c r="E131" s="470">
        <f t="shared" si="88"/>
        <v>0</v>
      </c>
      <c r="F131" s="471">
        <f t="shared" si="89"/>
        <v>0</v>
      </c>
      <c r="G131" s="478">
        <f t="shared" si="90"/>
        <v>0</v>
      </c>
      <c r="H131" s="479">
        <f t="shared" si="91"/>
        <v>0</v>
      </c>
      <c r="I131" s="418">
        <f t="shared" si="92"/>
        <v>0</v>
      </c>
      <c r="J131" s="479">
        <f t="shared" si="81"/>
        <v>0</v>
      </c>
      <c r="K131" s="479">
        <f t="shared" si="82"/>
        <v>0</v>
      </c>
      <c r="L131" s="418">
        <f t="shared" si="93"/>
        <v>0</v>
      </c>
      <c r="M131" s="479">
        <f t="shared" si="83"/>
        <v>0</v>
      </c>
      <c r="N131" s="479">
        <f t="shared" si="84"/>
        <v>0</v>
      </c>
      <c r="O131" s="418">
        <f t="shared" si="94"/>
        <v>0</v>
      </c>
      <c r="P131" s="479">
        <f t="shared" si="85"/>
        <v>0</v>
      </c>
      <c r="Q131" s="480">
        <f t="shared" si="86"/>
        <v>0</v>
      </c>
      <c r="R131" s="420">
        <f t="shared" si="95"/>
        <v>0</v>
      </c>
    </row>
    <row r="132" spans="1:18" x14ac:dyDescent="0.25">
      <c r="A132" s="740"/>
      <c r="B132" s="742"/>
      <c r="C132" s="468" t="s">
        <v>30</v>
      </c>
      <c r="D132" s="469">
        <f t="shared" si="87"/>
        <v>0</v>
      </c>
      <c r="E132" s="470">
        <f t="shared" si="88"/>
        <v>0</v>
      </c>
      <c r="F132" s="471">
        <f t="shared" si="89"/>
        <v>0</v>
      </c>
      <c r="G132" s="478">
        <f t="shared" si="90"/>
        <v>0</v>
      </c>
      <c r="H132" s="479">
        <f t="shared" si="91"/>
        <v>0</v>
      </c>
      <c r="I132" s="418">
        <f t="shared" si="92"/>
        <v>0</v>
      </c>
      <c r="J132" s="479">
        <f t="shared" si="81"/>
        <v>0</v>
      </c>
      <c r="K132" s="479">
        <f t="shared" si="82"/>
        <v>0</v>
      </c>
      <c r="L132" s="418">
        <f t="shared" si="93"/>
        <v>0</v>
      </c>
      <c r="M132" s="479">
        <f t="shared" si="83"/>
        <v>0</v>
      </c>
      <c r="N132" s="479">
        <f t="shared" si="84"/>
        <v>0</v>
      </c>
      <c r="O132" s="418">
        <f t="shared" si="94"/>
        <v>0</v>
      </c>
      <c r="P132" s="479">
        <f t="shared" si="85"/>
        <v>0</v>
      </c>
      <c r="Q132" s="480">
        <f t="shared" si="86"/>
        <v>0</v>
      </c>
      <c r="R132" s="420">
        <f t="shared" si="95"/>
        <v>0</v>
      </c>
    </row>
    <row r="133" spans="1:18" x14ac:dyDescent="0.25">
      <c r="A133" s="740"/>
      <c r="B133" s="742"/>
      <c r="C133" s="468" t="s">
        <v>31</v>
      </c>
      <c r="D133" s="469">
        <f t="shared" si="87"/>
        <v>0</v>
      </c>
      <c r="E133" s="470">
        <f t="shared" si="88"/>
        <v>0</v>
      </c>
      <c r="F133" s="471">
        <f t="shared" si="89"/>
        <v>0</v>
      </c>
      <c r="G133" s="478">
        <f t="shared" si="90"/>
        <v>0</v>
      </c>
      <c r="H133" s="479">
        <f t="shared" si="91"/>
        <v>0</v>
      </c>
      <c r="I133" s="418">
        <f t="shared" si="92"/>
        <v>0</v>
      </c>
      <c r="J133" s="479">
        <f t="shared" si="81"/>
        <v>0</v>
      </c>
      <c r="K133" s="479">
        <f t="shared" si="82"/>
        <v>0</v>
      </c>
      <c r="L133" s="418">
        <f t="shared" si="93"/>
        <v>0</v>
      </c>
      <c r="M133" s="479">
        <f t="shared" si="83"/>
        <v>0</v>
      </c>
      <c r="N133" s="479">
        <f t="shared" si="84"/>
        <v>0</v>
      </c>
      <c r="O133" s="418">
        <f t="shared" si="94"/>
        <v>0</v>
      </c>
      <c r="P133" s="479">
        <f t="shared" si="85"/>
        <v>0</v>
      </c>
      <c r="Q133" s="480">
        <f t="shared" si="86"/>
        <v>0</v>
      </c>
      <c r="R133" s="420">
        <f t="shared" si="95"/>
        <v>0</v>
      </c>
    </row>
    <row r="134" spans="1:18" x14ac:dyDescent="0.25">
      <c r="A134" s="740"/>
      <c r="B134" s="742"/>
      <c r="C134" s="468" t="s">
        <v>32</v>
      </c>
      <c r="D134" s="469">
        <f t="shared" si="87"/>
        <v>0</v>
      </c>
      <c r="E134" s="470">
        <f t="shared" si="88"/>
        <v>0</v>
      </c>
      <c r="F134" s="471">
        <f t="shared" si="89"/>
        <v>0</v>
      </c>
      <c r="G134" s="478">
        <f t="shared" si="90"/>
        <v>0</v>
      </c>
      <c r="H134" s="479">
        <f t="shared" si="91"/>
        <v>0</v>
      </c>
      <c r="I134" s="418">
        <f t="shared" si="92"/>
        <v>0</v>
      </c>
      <c r="J134" s="479">
        <f t="shared" si="81"/>
        <v>0</v>
      </c>
      <c r="K134" s="479">
        <f t="shared" si="82"/>
        <v>0</v>
      </c>
      <c r="L134" s="418">
        <f t="shared" si="93"/>
        <v>0</v>
      </c>
      <c r="M134" s="479">
        <f t="shared" si="83"/>
        <v>0</v>
      </c>
      <c r="N134" s="479">
        <f t="shared" si="84"/>
        <v>0</v>
      </c>
      <c r="O134" s="418">
        <f t="shared" si="94"/>
        <v>0</v>
      </c>
      <c r="P134" s="479">
        <f t="shared" si="85"/>
        <v>0</v>
      </c>
      <c r="Q134" s="480">
        <f t="shared" si="86"/>
        <v>0</v>
      </c>
      <c r="R134" s="420">
        <f t="shared" si="95"/>
        <v>0</v>
      </c>
    </row>
    <row r="135" spans="1:18" x14ac:dyDescent="0.25">
      <c r="A135" s="740"/>
      <c r="B135" s="742"/>
      <c r="C135" s="468" t="s">
        <v>33</v>
      </c>
      <c r="D135" s="469">
        <f t="shared" si="87"/>
        <v>0</v>
      </c>
      <c r="E135" s="470">
        <f t="shared" si="88"/>
        <v>0</v>
      </c>
      <c r="F135" s="471">
        <f t="shared" si="89"/>
        <v>0</v>
      </c>
      <c r="G135" s="478">
        <f t="shared" si="90"/>
        <v>0</v>
      </c>
      <c r="H135" s="479">
        <f t="shared" si="91"/>
        <v>0</v>
      </c>
      <c r="I135" s="418">
        <f t="shared" si="92"/>
        <v>0</v>
      </c>
      <c r="J135" s="479">
        <f t="shared" si="81"/>
        <v>0</v>
      </c>
      <c r="K135" s="479">
        <f t="shared" si="82"/>
        <v>0</v>
      </c>
      <c r="L135" s="418">
        <f t="shared" si="93"/>
        <v>0</v>
      </c>
      <c r="M135" s="479">
        <f t="shared" si="83"/>
        <v>0</v>
      </c>
      <c r="N135" s="479">
        <f t="shared" si="84"/>
        <v>0</v>
      </c>
      <c r="O135" s="418">
        <f t="shared" si="94"/>
        <v>0</v>
      </c>
      <c r="P135" s="479">
        <f t="shared" si="85"/>
        <v>0</v>
      </c>
      <c r="Q135" s="480">
        <f t="shared" si="86"/>
        <v>0</v>
      </c>
      <c r="R135" s="420">
        <f t="shared" si="95"/>
        <v>0</v>
      </c>
    </row>
    <row r="136" spans="1:18" ht="15.75" thickBot="1" x14ac:dyDescent="0.3">
      <c r="A136" s="741"/>
      <c r="B136" s="743"/>
      <c r="C136" s="481" t="s">
        <v>34</v>
      </c>
      <c r="D136" s="482">
        <f t="shared" si="87"/>
        <v>0</v>
      </c>
      <c r="E136" s="483">
        <f t="shared" si="88"/>
        <v>0</v>
      </c>
      <c r="F136" s="484">
        <f t="shared" si="89"/>
        <v>0</v>
      </c>
      <c r="G136" s="485">
        <f t="shared" si="90"/>
        <v>0</v>
      </c>
      <c r="H136" s="486">
        <f t="shared" si="91"/>
        <v>0</v>
      </c>
      <c r="I136" s="427">
        <f t="shared" si="92"/>
        <v>0</v>
      </c>
      <c r="J136" s="486">
        <f t="shared" si="81"/>
        <v>0</v>
      </c>
      <c r="K136" s="486">
        <f t="shared" si="82"/>
        <v>0</v>
      </c>
      <c r="L136" s="427">
        <f t="shared" si="93"/>
        <v>0</v>
      </c>
      <c r="M136" s="486">
        <f t="shared" si="83"/>
        <v>0</v>
      </c>
      <c r="N136" s="486">
        <f t="shared" si="84"/>
        <v>0</v>
      </c>
      <c r="O136" s="427">
        <f t="shared" si="94"/>
        <v>0</v>
      </c>
      <c r="P136" s="486">
        <f t="shared" si="85"/>
        <v>0</v>
      </c>
      <c r="Q136" s="487">
        <f t="shared" si="86"/>
        <v>0</v>
      </c>
      <c r="R136" s="429">
        <f t="shared" si="95"/>
        <v>0</v>
      </c>
    </row>
  </sheetData>
  <sheetProtection insertColumns="0" deleteColumns="0"/>
  <mergeCells count="43">
    <mergeCell ref="M2:O2"/>
    <mergeCell ref="P2:R2"/>
    <mergeCell ref="M3:O3"/>
    <mergeCell ref="P3:R3"/>
    <mergeCell ref="G4:I4"/>
    <mergeCell ref="J4:L4"/>
    <mergeCell ref="M4:O4"/>
    <mergeCell ref="P4:R4"/>
    <mergeCell ref="M1:O1"/>
    <mergeCell ref="P1:R1"/>
    <mergeCell ref="A67:A76"/>
    <mergeCell ref="B67:B76"/>
    <mergeCell ref="A127:A136"/>
    <mergeCell ref="B127:B136"/>
    <mergeCell ref="A107:A116"/>
    <mergeCell ref="B107:B116"/>
    <mergeCell ref="A87:A96"/>
    <mergeCell ref="B87:B96"/>
    <mergeCell ref="A117:A126"/>
    <mergeCell ref="B117:B126"/>
    <mergeCell ref="A97:A106"/>
    <mergeCell ref="B97:B106"/>
    <mergeCell ref="A77:A86"/>
    <mergeCell ref="B77:B86"/>
    <mergeCell ref="A6:A15"/>
    <mergeCell ref="B6:B15"/>
    <mergeCell ref="A16:A25"/>
    <mergeCell ref="B16:B25"/>
    <mergeCell ref="J1:L1"/>
    <mergeCell ref="D1:F1"/>
    <mergeCell ref="G1:I1"/>
    <mergeCell ref="G3:I3"/>
    <mergeCell ref="J3:L3"/>
    <mergeCell ref="G2:I2"/>
    <mergeCell ref="J2:L2"/>
    <mergeCell ref="A26:A35"/>
    <mergeCell ref="B26:B35"/>
    <mergeCell ref="A36:A45"/>
    <mergeCell ref="B36:B45"/>
    <mergeCell ref="A56:A65"/>
    <mergeCell ref="B56:B65"/>
    <mergeCell ref="A46:A55"/>
    <mergeCell ref="B46:B55"/>
  </mergeCells>
  <pageMargins left="0.7" right="0.7" top="0.75" bottom="0.75" header="0.3" footer="0.3"/>
  <pageSetup paperSize="9"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CC"/>
    <outlinePr summaryBelow="0" summaryRight="0"/>
  </sheetPr>
  <dimension ref="A1:M44"/>
  <sheetViews>
    <sheetView view="pageBreakPreview" topLeftCell="A11" zoomScaleNormal="85" zoomScaleSheetLayoutView="100" workbookViewId="0">
      <selection activeCell="I50" sqref="I50"/>
    </sheetView>
  </sheetViews>
  <sheetFormatPr defaultColWidth="8.85546875" defaultRowHeight="15" outlineLevelCol="1" x14ac:dyDescent="0.25"/>
  <cols>
    <col min="2" max="2" width="54.140625" customWidth="1"/>
    <col min="3" max="3" width="18.85546875" customWidth="1"/>
    <col min="4" max="13" width="16" customWidth="1" outlineLevel="1"/>
  </cols>
  <sheetData>
    <row r="1" spans="1:13" ht="21" x14ac:dyDescent="0.35">
      <c r="A1" s="103" t="s">
        <v>100</v>
      </c>
      <c r="B1" s="104"/>
      <c r="D1" s="92"/>
      <c r="E1" s="90"/>
      <c r="F1" s="90"/>
      <c r="G1" s="90"/>
      <c r="H1" s="90"/>
      <c r="I1" s="90"/>
      <c r="J1" s="90"/>
      <c r="K1" s="90"/>
      <c r="L1" s="90"/>
      <c r="M1" s="86"/>
    </row>
    <row r="2" spans="1:13" ht="15.75" x14ac:dyDescent="0.25">
      <c r="A2" s="105"/>
      <c r="B2" s="91"/>
      <c r="D2" s="88"/>
      <c r="E2" s="88"/>
      <c r="F2" s="88"/>
      <c r="G2" s="88"/>
      <c r="H2" s="88"/>
      <c r="I2" s="88"/>
      <c r="J2" s="88"/>
      <c r="K2" s="88"/>
      <c r="L2" s="88"/>
      <c r="M2" s="82"/>
    </row>
    <row r="3" spans="1:13" ht="15.75" x14ac:dyDescent="0.25">
      <c r="A3" s="214" t="s">
        <v>201</v>
      </c>
      <c r="B3" s="91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x14ac:dyDescent="0.25"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5.75" thickBot="1" x14ac:dyDescent="0.3">
      <c r="A5" s="92"/>
      <c r="B5" s="93"/>
      <c r="C5" s="87"/>
      <c r="D5" s="745" t="s">
        <v>101</v>
      </c>
      <c r="E5" s="745"/>
      <c r="F5" s="745"/>
      <c r="G5" s="745"/>
      <c r="H5" s="745"/>
      <c r="I5" s="745"/>
      <c r="J5" s="745"/>
      <c r="K5" s="745"/>
      <c r="L5" s="745"/>
      <c r="M5" s="745"/>
    </row>
    <row r="6" spans="1:13" x14ac:dyDescent="0.25">
      <c r="A6" s="211"/>
      <c r="B6" s="208" t="s">
        <v>176</v>
      </c>
      <c r="C6" s="97" t="s">
        <v>105</v>
      </c>
      <c r="D6" s="111" t="s">
        <v>25</v>
      </c>
      <c r="E6" s="112" t="s">
        <v>26</v>
      </c>
      <c r="F6" s="112" t="s">
        <v>27</v>
      </c>
      <c r="G6" s="112" t="s">
        <v>28</v>
      </c>
      <c r="H6" s="112" t="s">
        <v>29</v>
      </c>
      <c r="I6" s="112" t="s">
        <v>30</v>
      </c>
      <c r="J6" s="112" t="s">
        <v>31</v>
      </c>
      <c r="K6" s="112" t="s">
        <v>32</v>
      </c>
      <c r="L6" s="112" t="s">
        <v>33</v>
      </c>
      <c r="M6" s="113" t="s">
        <v>34</v>
      </c>
    </row>
    <row r="7" spans="1:13" x14ac:dyDescent="0.25">
      <c r="A7" s="212"/>
      <c r="B7" s="209" t="s">
        <v>108</v>
      </c>
      <c r="C7" s="98">
        <f t="shared" ref="C7:C14" si="0">SUM(D7:M7)</f>
        <v>106589.76000000001</v>
      </c>
      <c r="D7" s="114">
        <f>'TCO TO BE- SW'!$E5+'TCO TO BE- SW'!$E15</f>
        <v>0</v>
      </c>
      <c r="E7" s="95">
        <f>'TCO TO BE- SW'!$E6+'TCO TO BE- SW'!$E16</f>
        <v>106589.76000000001</v>
      </c>
      <c r="F7" s="95">
        <f>'TCO TO BE- SW'!$E7+'TCO TO BE- SW'!$E17</f>
        <v>0</v>
      </c>
      <c r="G7" s="95">
        <f>'TCO TO BE- SW'!$E8+'TCO TO BE- SW'!$E18</f>
        <v>0</v>
      </c>
      <c r="H7" s="95">
        <f>'TCO TO BE- SW'!$E9+'TCO TO BE- SW'!$E19</f>
        <v>0</v>
      </c>
      <c r="I7" s="95">
        <f>'TCO TO BE- SW'!$E10+'TCO TO BE- SW'!$E20</f>
        <v>0</v>
      </c>
      <c r="J7" s="95">
        <f>'TCO TO BE- SW'!$E11+'TCO TO BE- SW'!$E21</f>
        <v>0</v>
      </c>
      <c r="K7" s="95">
        <f>'TCO TO BE- SW'!$E12+'TCO TO BE- SW'!$E22</f>
        <v>0</v>
      </c>
      <c r="L7" s="95">
        <f>'TCO TO BE- SW'!$E13+'TCO TO BE- SW'!$E23</f>
        <v>0</v>
      </c>
      <c r="M7" s="115">
        <f>'TCO TO BE- SW'!$E14+'TCO TO BE- SW'!$E24</f>
        <v>0</v>
      </c>
    </row>
    <row r="8" spans="1:13" x14ac:dyDescent="0.25">
      <c r="A8" s="212"/>
      <c r="B8" s="209" t="s">
        <v>109</v>
      </c>
      <c r="C8" s="98">
        <f t="shared" si="0"/>
        <v>0</v>
      </c>
      <c r="D8" s="114">
        <f>'TCO TO BE- SW'!$E58+'TCO TO BE- SW'!$E68</f>
        <v>0</v>
      </c>
      <c r="E8" s="95">
        <f>'TCO TO BE- SW'!$E59+'TCO TO BE- SW'!$E69</f>
        <v>0</v>
      </c>
      <c r="F8" s="95">
        <f>'TCO TO BE- SW'!$E60+'TCO TO BE- SW'!$E70</f>
        <v>0</v>
      </c>
      <c r="G8" s="95">
        <f>'TCO TO BE- SW'!$E61+'TCO TO BE- SW'!$E71</f>
        <v>0</v>
      </c>
      <c r="H8" s="95">
        <f>'TCO TO BE- SW'!$E62+'TCO TO BE- SW'!$E72</f>
        <v>0</v>
      </c>
      <c r="I8" s="95">
        <f>'TCO TO BE- SW'!$E63+'TCO TO BE- SW'!$E73</f>
        <v>0</v>
      </c>
      <c r="J8" s="95">
        <f>'TCO TO BE- SW'!$E64+'TCO TO BE- SW'!$E74</f>
        <v>0</v>
      </c>
      <c r="K8" s="95">
        <f>'TCO TO BE- SW'!$E65+'TCO TO BE- SW'!$E75</f>
        <v>0</v>
      </c>
      <c r="L8" s="95">
        <f>'TCO TO BE- SW'!$E66+'TCO TO BE- SW'!$E76</f>
        <v>0</v>
      </c>
      <c r="M8" s="115">
        <f>'TCO TO BE- SW'!$E67+'TCO TO BE- SW'!$E77</f>
        <v>0</v>
      </c>
    </row>
    <row r="9" spans="1:13" x14ac:dyDescent="0.25">
      <c r="A9" s="212"/>
      <c r="B9" s="209" t="s">
        <v>110</v>
      </c>
      <c r="C9" s="98">
        <f t="shared" si="0"/>
        <v>0</v>
      </c>
      <c r="D9" s="114">
        <f>'TCO TO BE- SW'!$E26+'TCO TO BE- SW'!$E36+'TCO TO BE- SW'!$E46</f>
        <v>0</v>
      </c>
      <c r="E9" s="95">
        <f>'TCO TO BE- SW'!$E27+'TCO TO BE- SW'!$E37+'TCO TO BE- SW'!$E47</f>
        <v>0</v>
      </c>
      <c r="F9" s="95">
        <f>'TCO TO BE- SW'!$E28+'TCO TO BE- SW'!$E38+'TCO TO BE- SW'!$E48</f>
        <v>0</v>
      </c>
      <c r="G9" s="95">
        <f>'TCO TO BE- SW'!$E29+'TCO TO BE- SW'!$E39+'TCO TO BE- SW'!$E49</f>
        <v>0</v>
      </c>
      <c r="H9" s="95">
        <f>'TCO TO BE- SW'!$E30+'TCO TO BE- SW'!$E40+'TCO TO BE- SW'!$E50</f>
        <v>0</v>
      </c>
      <c r="I9" s="95">
        <f>'TCO TO BE- SW'!$E31+'TCO TO BE- SW'!$E41+'TCO TO BE- SW'!$E51</f>
        <v>0</v>
      </c>
      <c r="J9" s="95">
        <f>'TCO TO BE- SW'!$E32+'TCO TO BE- SW'!$E42+'TCO TO BE- SW'!$E52</f>
        <v>0</v>
      </c>
      <c r="K9" s="95">
        <f>'TCO TO BE- SW'!$E33+'TCO TO BE- SW'!$E43+'TCO TO BE- SW'!$E53</f>
        <v>0</v>
      </c>
      <c r="L9" s="95">
        <f>'TCO TO BE- SW'!$E34+'TCO TO BE- SW'!$E44+'TCO TO BE- SW'!$E54</f>
        <v>0</v>
      </c>
      <c r="M9" s="115">
        <f>'TCO TO BE- SW'!$E35+'TCO TO BE- SW'!$E45+'TCO TO BE- SW'!$E55</f>
        <v>0</v>
      </c>
    </row>
    <row r="10" spans="1:13" x14ac:dyDescent="0.25">
      <c r="A10" s="212"/>
      <c r="B10" s="209" t="s">
        <v>111</v>
      </c>
      <c r="C10" s="98">
        <f t="shared" si="0"/>
        <v>0</v>
      </c>
      <c r="D10" s="114">
        <f>'TCO TO BE- SW'!$E79+'TCO TO BE- SW'!$E89+'TCO TO BE- SW'!$E99+'TCO TO BE- SW'!$E109+'TCO TO BE- SW'!$E119</f>
        <v>0</v>
      </c>
      <c r="E10" s="95">
        <f>'TCO TO BE- SW'!$E80+'TCO TO BE- SW'!$E90+'TCO TO BE- SW'!$E100+'TCO TO BE- SW'!$E110+'TCO TO BE- SW'!$E120</f>
        <v>0</v>
      </c>
      <c r="F10" s="95">
        <f>'TCO TO BE- SW'!$E81+'TCO TO BE- SW'!$E91+'TCO TO BE- SW'!$E101+'TCO TO BE- SW'!$E111+'TCO TO BE- SW'!$E121</f>
        <v>0</v>
      </c>
      <c r="G10" s="95">
        <f>'TCO TO BE- SW'!$E82+'TCO TO BE- SW'!$E92+'TCO TO BE- SW'!$E102+'TCO TO BE- SW'!$E112+'TCO TO BE- SW'!$E122</f>
        <v>0</v>
      </c>
      <c r="H10" s="95">
        <f>'TCO TO BE- SW'!$E83+'TCO TO BE- SW'!$E93+'TCO TO BE- SW'!$E103+'TCO TO BE- SW'!$E113+'TCO TO BE- SW'!$E123</f>
        <v>0</v>
      </c>
      <c r="I10" s="95">
        <f>'TCO TO BE- SW'!$E84+'TCO TO BE- SW'!$E94+'TCO TO BE- SW'!$E104+'TCO TO BE- SW'!$E114+'TCO TO BE- SW'!$E124</f>
        <v>0</v>
      </c>
      <c r="J10" s="95">
        <f>'TCO TO BE- SW'!$E85+'TCO TO BE- SW'!$E95+'TCO TO BE- SW'!$E105+'TCO TO BE- SW'!$E115+'TCO TO BE- SW'!$E125</f>
        <v>0</v>
      </c>
      <c r="K10" s="95">
        <f>'TCO TO BE- SW'!$E86+'TCO TO BE- SW'!$E96+'TCO TO BE- SW'!$E106+'TCO TO BE- SW'!$E116+'TCO TO BE- SW'!$E126</f>
        <v>0</v>
      </c>
      <c r="L10" s="95">
        <f>'TCO TO BE- SW'!$E87+'TCO TO BE- SW'!$E97+'TCO TO BE- SW'!$E107+'TCO TO BE- SW'!$E117+'TCO TO BE- SW'!$E127</f>
        <v>0</v>
      </c>
      <c r="M10" s="115">
        <f>'TCO TO BE- SW'!$E88+'TCO TO BE- SW'!$E98+'TCO TO BE- SW'!$E108+'TCO TO BE- SW'!$E118+'TCO TO BE- SW'!$E128</f>
        <v>0</v>
      </c>
    </row>
    <row r="11" spans="1:13" x14ac:dyDescent="0.25">
      <c r="A11" s="212"/>
      <c r="B11" s="209" t="s">
        <v>366</v>
      </c>
      <c r="C11" s="98">
        <f t="shared" si="0"/>
        <v>0</v>
      </c>
      <c r="D11" s="114">
        <f>'TCO TO BE- SW'!E151+'TCO TO BE- SW'!E161</f>
        <v>0</v>
      </c>
      <c r="E11" s="95">
        <f>'TCO TO BE- SW'!E152+'TCO TO BE- SW'!E162</f>
        <v>0</v>
      </c>
      <c r="F11" s="95">
        <f>'TCO TO BE- SW'!E153+'TCO TO BE- SW'!E163</f>
        <v>0</v>
      </c>
      <c r="G11" s="95">
        <f>'TCO TO BE- SW'!E154+'TCO TO BE- SW'!E164</f>
        <v>0</v>
      </c>
      <c r="H11" s="95">
        <f>'TCO TO BE- SW'!E155+'TCO TO BE- SW'!E165</f>
        <v>0</v>
      </c>
      <c r="I11" s="95">
        <f>'TCO TO BE- SW'!E156+'TCO TO BE- SW'!E166</f>
        <v>0</v>
      </c>
      <c r="J11" s="95">
        <f>'TCO TO BE- SW'!E157+'TCO TO BE- SW'!E167</f>
        <v>0</v>
      </c>
      <c r="K11" s="95">
        <f>'TCO TO BE- SW'!E158+'TCO TO BE- SW'!E168</f>
        <v>0</v>
      </c>
      <c r="L11" s="95">
        <f>'TCO TO BE- SW'!E159+'TCO TO BE- SW'!E169</f>
        <v>0</v>
      </c>
      <c r="M11" s="115">
        <f>'TCO TO BE- SW'!E160+'TCO TO BE- SW'!E170</f>
        <v>0</v>
      </c>
    </row>
    <row r="12" spans="1:13" x14ac:dyDescent="0.25">
      <c r="A12" s="212"/>
      <c r="B12" s="209" t="s">
        <v>102</v>
      </c>
      <c r="C12" s="98">
        <f t="shared" si="0"/>
        <v>893388.36</v>
      </c>
      <c r="D12" s="114">
        <f>'TCO TO BE - HW'!$E4+'TCO TO BE - HW'!$E14+'TCO TO BE - HW'!$E24</f>
        <v>0</v>
      </c>
      <c r="E12" s="95">
        <f>'TCO TO BE - HW'!$E5+'TCO TO BE - HW'!$E15+'TCO TO BE - HW'!$E25</f>
        <v>893388.36</v>
      </c>
      <c r="F12" s="95">
        <f>'TCO TO BE - HW'!$E6+'TCO TO BE - HW'!$E16+'TCO TO BE - HW'!$E26</f>
        <v>0</v>
      </c>
      <c r="G12" s="95">
        <f>'TCO TO BE - HW'!$E7+'TCO TO BE - HW'!$E17+'TCO TO BE - HW'!$E27</f>
        <v>0</v>
      </c>
      <c r="H12" s="95">
        <f>'TCO TO BE - HW'!$E8+'TCO TO BE - HW'!$E18+'TCO TO BE - HW'!$E28</f>
        <v>0</v>
      </c>
      <c r="I12" s="95">
        <f>'TCO TO BE - HW'!$E9+'TCO TO BE - HW'!$E19+'TCO TO BE - HW'!$E29</f>
        <v>0</v>
      </c>
      <c r="J12" s="95">
        <f>'TCO TO BE - HW'!$E10+'TCO TO BE - HW'!$E20+'TCO TO BE - HW'!$E30</f>
        <v>0</v>
      </c>
      <c r="K12" s="95">
        <f>'TCO TO BE - HW'!$E11+'TCO TO BE - HW'!$E21+'TCO TO BE - HW'!$E31</f>
        <v>0</v>
      </c>
      <c r="L12" s="95">
        <f>'TCO TO BE - HW'!$E12+'TCO TO BE - HW'!$E22+'TCO TO BE - HW'!$E32</f>
        <v>0</v>
      </c>
      <c r="M12" s="115">
        <f>'TCO TO BE - HW'!$E13+'TCO TO BE - HW'!$E23+'TCO TO BE - HW'!$E33</f>
        <v>0</v>
      </c>
    </row>
    <row r="13" spans="1:13" x14ac:dyDescent="0.25">
      <c r="A13" s="212"/>
      <c r="B13" s="209" t="s">
        <v>103</v>
      </c>
      <c r="C13" s="98">
        <f t="shared" si="0"/>
        <v>59520</v>
      </c>
      <c r="D13" s="114">
        <f>'TCO TO BE - HW'!$E35+'TCO TO BE - HW'!$E45+'TCO TO BE - HW'!$E55+'TCO TO BE - HW'!$E65+'TCO TO BE - HW'!$E75</f>
        <v>0</v>
      </c>
      <c r="E13" s="95">
        <f>'TCO TO BE - HW'!$E36+'TCO TO BE - HW'!$E46+'TCO TO BE - HW'!$E56+'TCO TO BE - HW'!$E66+'TCO TO BE - HW'!$E76</f>
        <v>9920</v>
      </c>
      <c r="F13" s="95">
        <f>'TCO TO BE - HW'!$E37+'TCO TO BE - HW'!$E47+'TCO TO BE - HW'!$E57+'TCO TO BE - HW'!$E67+'TCO TO BE - HW'!$E77</f>
        <v>9920</v>
      </c>
      <c r="G13" s="95">
        <f>'TCO TO BE - HW'!$E38+'TCO TO BE - HW'!$E48+'TCO TO BE - HW'!$E58+'TCO TO BE - HW'!$E68+'TCO TO BE - HW'!$E78</f>
        <v>9920</v>
      </c>
      <c r="H13" s="95">
        <f>'TCO TO BE - HW'!$E39+'TCO TO BE - HW'!$E49+'TCO TO BE - HW'!$E59+'TCO TO BE - HW'!$E69+'TCO TO BE - HW'!$E79</f>
        <v>9920</v>
      </c>
      <c r="I13" s="95">
        <f>'TCO TO BE - HW'!$E40+'TCO TO BE - HW'!$E50+'TCO TO BE - HW'!$E60+'TCO TO BE - HW'!$E70+'TCO TO BE - HW'!$E80</f>
        <v>9920</v>
      </c>
      <c r="J13" s="95">
        <f>'TCO TO BE - HW'!$E41+'TCO TO BE - HW'!$E51+'TCO TO BE - HW'!$E61+'TCO TO BE - HW'!$E71+'TCO TO BE - HW'!$E81</f>
        <v>9920</v>
      </c>
      <c r="K13" s="95">
        <f>'TCO TO BE - HW'!$E42+'TCO TO BE - HW'!$E52+'TCO TO BE - HW'!$E62+'TCO TO BE - HW'!$E72+'TCO TO BE - HW'!$E82</f>
        <v>0</v>
      </c>
      <c r="L13" s="95">
        <f>'TCO TO BE - HW'!$E43+'TCO TO BE - HW'!$E53+'TCO TO BE - HW'!$E63+'TCO TO BE - HW'!$E73+'TCO TO BE - HW'!$E83</f>
        <v>0</v>
      </c>
      <c r="M13" s="115">
        <f>'TCO TO BE - HW'!$E44+'TCO TO BE - HW'!$E54+'TCO TO BE - HW'!$E64+'TCO TO BE - HW'!$E74+'TCO TO BE - HW'!$E84</f>
        <v>0</v>
      </c>
    </row>
    <row r="14" spans="1:13" ht="15.75" thickBot="1" x14ac:dyDescent="0.3">
      <c r="A14" s="212"/>
      <c r="B14" s="516" t="s">
        <v>330</v>
      </c>
      <c r="C14" s="517">
        <f t="shared" si="0"/>
        <v>43400</v>
      </c>
      <c r="D14" s="522">
        <f>'TCO TO BE- SW'!E130+'TCO TO BE- SW'!E140</f>
        <v>1400</v>
      </c>
      <c r="E14" s="523">
        <f>'TCO TO BE- SW'!E131+'TCO TO BE- SW'!E141</f>
        <v>7000</v>
      </c>
      <c r="F14" s="523">
        <f>'TCO TO BE- SW'!E132+'TCO TO BE- SW'!E142</f>
        <v>7000</v>
      </c>
      <c r="G14" s="523">
        <f>'TCO TO BE- SW'!E133+'TCO TO BE- SW'!E143</f>
        <v>7000</v>
      </c>
      <c r="H14" s="523">
        <f>'TCO TO BE- SW'!E134+'TCO TO BE- SW'!E144</f>
        <v>7000</v>
      </c>
      <c r="I14" s="523">
        <f>'TCO TO BE- SW'!E135+'TCO TO BE- SW'!E145</f>
        <v>7000</v>
      </c>
      <c r="J14" s="523">
        <f>'TCO TO BE- SW'!E136+'TCO TO BE- SW'!E146</f>
        <v>7000</v>
      </c>
      <c r="K14" s="523">
        <f>'TCO TO BE- SW'!E137+'TCO TO BE- SW'!E147</f>
        <v>0</v>
      </c>
      <c r="L14" s="523">
        <f>'TCO TO BE- SW'!E138+'TCO TO BE- SW'!E148</f>
        <v>0</v>
      </c>
      <c r="M14" s="524">
        <f>'TCO TO BE- SW'!E139+'TCO TO BE- SW'!E149</f>
        <v>0</v>
      </c>
    </row>
    <row r="15" spans="1:13" ht="15.75" thickBot="1" x14ac:dyDescent="0.3">
      <c r="A15" s="213"/>
      <c r="B15" s="210" t="s">
        <v>104</v>
      </c>
      <c r="C15" s="100">
        <f>SUM(C7:C14)</f>
        <v>1102898.1200000001</v>
      </c>
      <c r="D15" s="96">
        <f>SUM(D7:D13)</f>
        <v>0</v>
      </c>
      <c r="E15" s="85">
        <f t="shared" ref="E15:M15" si="1">SUM(E7:E13)</f>
        <v>1009898.12</v>
      </c>
      <c r="F15" s="85">
        <f t="shared" si="1"/>
        <v>9920</v>
      </c>
      <c r="G15" s="85">
        <f t="shared" si="1"/>
        <v>9920</v>
      </c>
      <c r="H15" s="85">
        <f t="shared" si="1"/>
        <v>9920</v>
      </c>
      <c r="I15" s="85">
        <f t="shared" si="1"/>
        <v>9920</v>
      </c>
      <c r="J15" s="85">
        <f t="shared" si="1"/>
        <v>9920</v>
      </c>
      <c r="K15" s="85">
        <f t="shared" si="1"/>
        <v>0</v>
      </c>
      <c r="L15" s="102">
        <f t="shared" si="1"/>
        <v>0</v>
      </c>
      <c r="M15" s="101">
        <f t="shared" si="1"/>
        <v>0</v>
      </c>
    </row>
    <row r="16" spans="1:13" x14ac:dyDescent="0.25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</row>
    <row r="17" spans="1:13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13" ht="32.25" customHeight="1" x14ac:dyDescent="0.25">
      <c r="A18" s="746" t="s">
        <v>116</v>
      </c>
      <c r="B18" s="746"/>
      <c r="C18" s="746"/>
      <c r="D18" s="89"/>
      <c r="E18" s="88"/>
      <c r="F18" s="88"/>
      <c r="G18" s="88"/>
      <c r="H18" s="88"/>
      <c r="I18" s="88"/>
      <c r="J18" s="88"/>
      <c r="K18" s="88"/>
      <c r="L18" s="88"/>
      <c r="M18" s="82"/>
    </row>
    <row r="19" spans="1:13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ht="15.75" thickBot="1" x14ac:dyDescent="0.3">
      <c r="A20" s="92"/>
      <c r="B20" s="93"/>
      <c r="C20" s="87"/>
      <c r="D20" s="745" t="s">
        <v>101</v>
      </c>
      <c r="E20" s="745"/>
      <c r="F20" s="745"/>
      <c r="G20" s="745"/>
      <c r="H20" s="745"/>
      <c r="I20" s="745"/>
      <c r="J20" s="745"/>
      <c r="K20" s="745"/>
      <c r="L20" s="745"/>
      <c r="M20" s="745"/>
    </row>
    <row r="21" spans="1:13" ht="17.100000000000001" customHeight="1" x14ac:dyDescent="0.25">
      <c r="A21" s="211"/>
      <c r="B21" s="207" t="s">
        <v>237</v>
      </c>
      <c r="C21" s="97" t="s">
        <v>105</v>
      </c>
      <c r="D21" s="111" t="s">
        <v>25</v>
      </c>
      <c r="E21" s="112" t="s">
        <v>26</v>
      </c>
      <c r="F21" s="112" t="s">
        <v>27</v>
      </c>
      <c r="G21" s="112" t="s">
        <v>28</v>
      </c>
      <c r="H21" s="112" t="s">
        <v>29</v>
      </c>
      <c r="I21" s="112" t="s">
        <v>30</v>
      </c>
      <c r="J21" s="112" t="s">
        <v>31</v>
      </c>
      <c r="K21" s="112" t="s">
        <v>32</v>
      </c>
      <c r="L21" s="112" t="s">
        <v>33</v>
      </c>
      <c r="M21" s="113" t="s">
        <v>34</v>
      </c>
    </row>
    <row r="22" spans="1:13" ht="15" customHeight="1" x14ac:dyDescent="0.25">
      <c r="A22" s="212"/>
      <c r="B22" s="109" t="s">
        <v>108</v>
      </c>
      <c r="C22" s="98">
        <v>0</v>
      </c>
      <c r="D22" s="114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115">
        <v>0</v>
      </c>
    </row>
    <row r="23" spans="1:13" ht="17.25" customHeight="1" x14ac:dyDescent="0.25">
      <c r="A23" s="212"/>
      <c r="B23" s="109" t="s">
        <v>109</v>
      </c>
      <c r="C23" s="98">
        <f>SUM(D23:M23)</f>
        <v>0</v>
      </c>
      <c r="D23" s="114">
        <f>'TCO AS IS - SW'!E5+'TCO AS IS - SW'!E15</f>
        <v>0</v>
      </c>
      <c r="E23" s="95">
        <f>'TCO AS IS - SW'!E6+'TCO AS IS - SW'!E16</f>
        <v>0</v>
      </c>
      <c r="F23" s="95">
        <f>'TCO AS IS - SW'!E7+'TCO AS IS - SW'!E17</f>
        <v>0</v>
      </c>
      <c r="G23" s="95">
        <f>'TCO AS IS - SW'!E8+'TCO AS IS - SW'!E18</f>
        <v>0</v>
      </c>
      <c r="H23" s="95">
        <f>'TCO AS IS - SW'!E9+'TCO AS IS - SW'!E19</f>
        <v>0</v>
      </c>
      <c r="I23" s="95">
        <f>'TCO AS IS - SW'!E10+'TCO AS IS - SW'!E20</f>
        <v>0</v>
      </c>
      <c r="J23" s="95">
        <f>'TCO AS IS - SW'!E11+'TCO AS IS - SW'!E21</f>
        <v>0</v>
      </c>
      <c r="K23" s="95">
        <f>'TCO AS IS - SW'!E12+'TCO AS IS - SW'!E22</f>
        <v>0</v>
      </c>
      <c r="L23" s="95">
        <f>'TCO AS IS - SW'!E13+'TCO AS IS - SW'!E23</f>
        <v>0</v>
      </c>
      <c r="M23" s="115">
        <f>'TCO AS IS - SW'!E14+'TCO AS IS - SW'!E24</f>
        <v>0</v>
      </c>
    </row>
    <row r="24" spans="1:13" x14ac:dyDescent="0.25">
      <c r="A24" s="212"/>
      <c r="B24" s="109" t="s">
        <v>110</v>
      </c>
      <c r="C24" s="98">
        <v>0</v>
      </c>
      <c r="D24" s="114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115">
        <v>0</v>
      </c>
    </row>
    <row r="25" spans="1:13" x14ac:dyDescent="0.25">
      <c r="A25" s="212"/>
      <c r="B25" s="109" t="s">
        <v>111</v>
      </c>
      <c r="C25" s="98">
        <f>SUM(D25:M25)</f>
        <v>0</v>
      </c>
      <c r="D25" s="114">
        <f>'TCO AS IS - SW'!E26+'TCO AS IS - SW'!E36+'TCO AS IS - SW'!E46+'TCO AS IS - SW'!E56+'TCO AS IS - SW'!E66</f>
        <v>0</v>
      </c>
      <c r="E25" s="95">
        <f>'TCO AS IS - SW'!E27+'TCO AS IS - SW'!E37+'TCO AS IS - SW'!E47+'TCO AS IS - SW'!E57+'TCO AS IS - SW'!E67</f>
        <v>0</v>
      </c>
      <c r="F25" s="95">
        <f>'TCO AS IS - SW'!E28+'TCO AS IS - SW'!E38+'TCO AS IS - SW'!E48+'TCO AS IS - SW'!E58+'TCO AS IS - SW'!E68</f>
        <v>0</v>
      </c>
      <c r="G25" s="95">
        <f>'TCO AS IS - SW'!E29+'TCO AS IS - SW'!E39+'TCO AS IS - SW'!E49+'TCO AS IS - SW'!E59+'TCO AS IS - SW'!E69</f>
        <v>0</v>
      </c>
      <c r="H25" s="95">
        <f>'TCO AS IS - SW'!E30+'TCO AS IS - SW'!E40+'TCO AS IS - SW'!E50+'TCO AS IS - SW'!E60+'TCO AS IS - SW'!E70</f>
        <v>0</v>
      </c>
      <c r="I25" s="95">
        <f>'TCO AS IS - SW'!E31+'TCO AS IS - SW'!E41+'TCO AS IS - SW'!E51+'TCO AS IS - SW'!E61+'TCO AS IS - SW'!E71</f>
        <v>0</v>
      </c>
      <c r="J25" s="95">
        <f>'TCO AS IS - SW'!E32+'TCO AS IS - SW'!E42+'TCO AS IS - SW'!E52+'TCO AS IS - SW'!E62+'TCO AS IS - SW'!E72</f>
        <v>0</v>
      </c>
      <c r="K25" s="95">
        <f>'TCO AS IS - SW'!E33+'TCO AS IS - SW'!E43+'TCO AS IS - SW'!E53+'TCO AS IS - SW'!E63+'TCO AS IS - SW'!E73</f>
        <v>0</v>
      </c>
      <c r="L25" s="95">
        <f>'TCO AS IS - SW'!E34+'TCO AS IS - SW'!E44+'TCO AS IS - SW'!E54+'TCO AS IS - SW'!E64+'TCO AS IS - SW'!E74</f>
        <v>0</v>
      </c>
      <c r="M25" s="115">
        <f>'TCO AS IS - SW'!E35+'TCO AS IS - SW'!E45+'TCO AS IS - SW'!E55+'TCO AS IS - SW'!E65+'TCO AS IS - SW'!E75</f>
        <v>0</v>
      </c>
    </row>
    <row r="26" spans="1:13" x14ac:dyDescent="0.25">
      <c r="A26" s="212"/>
      <c r="B26" s="109" t="s">
        <v>102</v>
      </c>
      <c r="C26" s="98">
        <v>0</v>
      </c>
      <c r="D26" s="114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115">
        <v>0</v>
      </c>
    </row>
    <row r="27" spans="1:13" ht="15.75" thickBot="1" x14ac:dyDescent="0.3">
      <c r="A27" s="212"/>
      <c r="B27" s="110" t="s">
        <v>103</v>
      </c>
      <c r="C27" s="99">
        <f>SUM(D27:M27)</f>
        <v>0</v>
      </c>
      <c r="D27" s="116">
        <f>'TCO AS IS - HW'!E4+'TCO AS IS - HW'!E14+'TCO AS IS - HW'!E24+'TCO AS IS - HW'!E34+'TCO AS IS - HW'!E44</f>
        <v>0</v>
      </c>
      <c r="E27" s="117">
        <f>'TCO AS IS - HW'!E5+'TCO AS IS - HW'!E15+'TCO AS IS - HW'!E25+'TCO AS IS - HW'!E35+'TCO AS IS - HW'!E45</f>
        <v>0</v>
      </c>
      <c r="F27" s="117">
        <f>'TCO AS IS - HW'!E6+'TCO AS IS - HW'!E16+'TCO AS IS - HW'!E26+'TCO AS IS - HW'!E36+'TCO AS IS - HW'!E46</f>
        <v>0</v>
      </c>
      <c r="G27" s="117">
        <f>'TCO AS IS - HW'!E7+'TCO AS IS - HW'!E17+'TCO AS IS - HW'!E27+'TCO AS IS - HW'!E37+'TCO AS IS - HW'!E47</f>
        <v>0</v>
      </c>
      <c r="H27" s="117">
        <f>'TCO AS IS - HW'!E8+'TCO AS IS - HW'!E18+'TCO AS IS - HW'!E28+'TCO AS IS - HW'!E38+'TCO AS IS - HW'!E48</f>
        <v>0</v>
      </c>
      <c r="I27" s="117">
        <f>'TCO AS IS - HW'!E9+'TCO AS IS - HW'!E19+'TCO AS IS - HW'!E29+'TCO AS IS - HW'!E39+'TCO AS IS - HW'!E49</f>
        <v>0</v>
      </c>
      <c r="J27" s="117">
        <f>'TCO AS IS - HW'!E10+'TCO AS IS - HW'!E20+'TCO AS IS - HW'!E30+'TCO AS IS - HW'!E40+'TCO AS IS - HW'!E50</f>
        <v>0</v>
      </c>
      <c r="K27" s="117">
        <f>'TCO AS IS - HW'!E11+'TCO AS IS - HW'!E21+'TCO AS IS - HW'!E31+'TCO AS IS - HW'!E41+'TCO AS IS - HW'!E51</f>
        <v>0</v>
      </c>
      <c r="L27" s="117">
        <f>'TCO AS IS - HW'!E12+'TCO AS IS - HW'!E22+'TCO AS IS - HW'!E32+'TCO AS IS - HW'!E42+'TCO AS IS - HW'!E52</f>
        <v>0</v>
      </c>
      <c r="M27" s="118">
        <f>'TCO AS IS - HW'!E13+'TCO AS IS - HW'!E23+'TCO AS IS - HW'!E33+'TCO AS IS - HW'!E43+'TCO AS IS - HW'!E53</f>
        <v>0</v>
      </c>
    </row>
    <row r="28" spans="1:13" ht="15.75" thickBot="1" x14ac:dyDescent="0.3">
      <c r="A28" s="213"/>
      <c r="B28" s="94" t="s">
        <v>104</v>
      </c>
      <c r="C28" s="100">
        <f t="shared" ref="C28:M28" si="2">SUM(C22:C27)</f>
        <v>0</v>
      </c>
      <c r="D28" s="96">
        <f t="shared" si="2"/>
        <v>0</v>
      </c>
      <c r="E28" s="85">
        <f t="shared" si="2"/>
        <v>0</v>
      </c>
      <c r="F28" s="85">
        <f t="shared" si="2"/>
        <v>0</v>
      </c>
      <c r="G28" s="85">
        <f t="shared" si="2"/>
        <v>0</v>
      </c>
      <c r="H28" s="85">
        <f t="shared" si="2"/>
        <v>0</v>
      </c>
      <c r="I28" s="85">
        <f t="shared" si="2"/>
        <v>0</v>
      </c>
      <c r="J28" s="85">
        <f t="shared" si="2"/>
        <v>0</v>
      </c>
      <c r="K28" s="85">
        <f t="shared" si="2"/>
        <v>0</v>
      </c>
      <c r="L28" s="102">
        <f t="shared" si="2"/>
        <v>0</v>
      </c>
      <c r="M28" s="101">
        <f t="shared" si="2"/>
        <v>0</v>
      </c>
    </row>
    <row r="29" spans="1:13" x14ac:dyDescent="0.25">
      <c r="A29" s="204"/>
      <c r="B29" s="205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2" spans="1:13" ht="15.75" customHeight="1" x14ac:dyDescent="0.25">
      <c r="A32" s="746" t="s">
        <v>221</v>
      </c>
      <c r="B32" s="746"/>
      <c r="C32" s="746"/>
    </row>
    <row r="34" spans="1:13" ht="15.75" thickBot="1" x14ac:dyDescent="0.3"/>
    <row r="35" spans="1:13" x14ac:dyDescent="0.25">
      <c r="A35" s="211"/>
      <c r="B35" s="207" t="s">
        <v>161</v>
      </c>
      <c r="C35" s="154" t="s">
        <v>105</v>
      </c>
      <c r="D35" s="155" t="s">
        <v>25</v>
      </c>
      <c r="E35" s="156" t="s">
        <v>26</v>
      </c>
      <c r="F35" s="156" t="s">
        <v>27</v>
      </c>
      <c r="G35" s="156" t="s">
        <v>28</v>
      </c>
      <c r="H35" s="156" t="s">
        <v>29</v>
      </c>
      <c r="I35" s="156" t="s">
        <v>30</v>
      </c>
      <c r="J35" s="156" t="s">
        <v>31</v>
      </c>
      <c r="K35" s="156" t="s">
        <v>32</v>
      </c>
      <c r="L35" s="156" t="s">
        <v>33</v>
      </c>
      <c r="M35" s="157" t="s">
        <v>34</v>
      </c>
    </row>
    <row r="36" spans="1:13" x14ac:dyDescent="0.25">
      <c r="A36" s="212"/>
      <c r="B36" s="158" t="s">
        <v>108</v>
      </c>
      <c r="C36" s="159">
        <f>SUM(D36:M36)</f>
        <v>106589.76000000001</v>
      </c>
      <c r="D36" s="160">
        <f t="shared" ref="D36:M36" si="3">D7-D22</f>
        <v>0</v>
      </c>
      <c r="E36" s="161">
        <f t="shared" si="3"/>
        <v>106589.76000000001</v>
      </c>
      <c r="F36" s="161">
        <f t="shared" si="3"/>
        <v>0</v>
      </c>
      <c r="G36" s="161">
        <f t="shared" si="3"/>
        <v>0</v>
      </c>
      <c r="H36" s="161">
        <f t="shared" si="3"/>
        <v>0</v>
      </c>
      <c r="I36" s="161">
        <f t="shared" si="3"/>
        <v>0</v>
      </c>
      <c r="J36" s="161">
        <f t="shared" si="3"/>
        <v>0</v>
      </c>
      <c r="K36" s="161">
        <f t="shared" si="3"/>
        <v>0</v>
      </c>
      <c r="L36" s="161">
        <f t="shared" si="3"/>
        <v>0</v>
      </c>
      <c r="M36" s="171">
        <f t="shared" si="3"/>
        <v>0</v>
      </c>
    </row>
    <row r="37" spans="1:13" x14ac:dyDescent="0.25">
      <c r="A37" s="212"/>
      <c r="B37" s="163" t="s">
        <v>109</v>
      </c>
      <c r="C37" s="159">
        <f t="shared" ref="C37:C43" si="4">SUM(D37:M37)</f>
        <v>0</v>
      </c>
      <c r="D37" s="160">
        <f t="shared" ref="D37:M37" si="5">D8-D23</f>
        <v>0</v>
      </c>
      <c r="E37" s="161">
        <f t="shared" si="5"/>
        <v>0</v>
      </c>
      <c r="F37" s="161">
        <f t="shared" si="5"/>
        <v>0</v>
      </c>
      <c r="G37" s="161">
        <f t="shared" si="5"/>
        <v>0</v>
      </c>
      <c r="H37" s="161">
        <f t="shared" si="5"/>
        <v>0</v>
      </c>
      <c r="I37" s="161">
        <f t="shared" si="5"/>
        <v>0</v>
      </c>
      <c r="J37" s="161">
        <f t="shared" si="5"/>
        <v>0</v>
      </c>
      <c r="K37" s="161">
        <f t="shared" si="5"/>
        <v>0</v>
      </c>
      <c r="L37" s="172">
        <f t="shared" si="5"/>
        <v>0</v>
      </c>
      <c r="M37" s="162">
        <f t="shared" si="5"/>
        <v>0</v>
      </c>
    </row>
    <row r="38" spans="1:13" x14ac:dyDescent="0.25">
      <c r="A38" s="212"/>
      <c r="B38" s="158" t="s">
        <v>110</v>
      </c>
      <c r="C38" s="159">
        <f t="shared" si="4"/>
        <v>0</v>
      </c>
      <c r="D38" s="160">
        <f t="shared" ref="D38:M38" si="6">D9-D24</f>
        <v>0</v>
      </c>
      <c r="E38" s="161">
        <f t="shared" si="6"/>
        <v>0</v>
      </c>
      <c r="F38" s="161">
        <f t="shared" si="6"/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72">
        <f t="shared" si="6"/>
        <v>0</v>
      </c>
      <c r="M38" s="162">
        <f t="shared" si="6"/>
        <v>0</v>
      </c>
    </row>
    <row r="39" spans="1:13" x14ac:dyDescent="0.25">
      <c r="A39" s="212"/>
      <c r="B39" s="109" t="s">
        <v>111</v>
      </c>
      <c r="C39" s="159">
        <f t="shared" si="4"/>
        <v>0</v>
      </c>
      <c r="D39" s="160">
        <f t="shared" ref="D39:M39" si="7">D10-D25</f>
        <v>0</v>
      </c>
      <c r="E39" s="161">
        <f t="shared" si="7"/>
        <v>0</v>
      </c>
      <c r="F39" s="161">
        <f t="shared" si="7"/>
        <v>0</v>
      </c>
      <c r="G39" s="161">
        <f t="shared" si="7"/>
        <v>0</v>
      </c>
      <c r="H39" s="161">
        <f t="shared" si="7"/>
        <v>0</v>
      </c>
      <c r="I39" s="161">
        <f t="shared" si="7"/>
        <v>0</v>
      </c>
      <c r="J39" s="161">
        <f t="shared" si="7"/>
        <v>0</v>
      </c>
      <c r="K39" s="161">
        <f t="shared" si="7"/>
        <v>0</v>
      </c>
      <c r="L39" s="172">
        <f t="shared" si="7"/>
        <v>0</v>
      </c>
      <c r="M39" s="162">
        <f t="shared" si="7"/>
        <v>0</v>
      </c>
    </row>
    <row r="40" spans="1:13" x14ac:dyDescent="0.25">
      <c r="A40" s="212"/>
      <c r="B40" s="109" t="s">
        <v>366</v>
      </c>
      <c r="C40" s="159">
        <f t="shared" si="4"/>
        <v>0</v>
      </c>
      <c r="D40" s="160">
        <f t="shared" ref="D40:M40" si="8">D11</f>
        <v>0</v>
      </c>
      <c r="E40" s="161">
        <f t="shared" si="8"/>
        <v>0</v>
      </c>
      <c r="F40" s="161">
        <f t="shared" si="8"/>
        <v>0</v>
      </c>
      <c r="G40" s="161">
        <f t="shared" si="8"/>
        <v>0</v>
      </c>
      <c r="H40" s="161">
        <f t="shared" si="8"/>
        <v>0</v>
      </c>
      <c r="I40" s="161">
        <f t="shared" si="8"/>
        <v>0</v>
      </c>
      <c r="J40" s="161">
        <f t="shared" si="8"/>
        <v>0</v>
      </c>
      <c r="K40" s="161">
        <f t="shared" si="8"/>
        <v>0</v>
      </c>
      <c r="L40" s="172">
        <f t="shared" si="8"/>
        <v>0</v>
      </c>
      <c r="M40" s="162">
        <f t="shared" si="8"/>
        <v>0</v>
      </c>
    </row>
    <row r="41" spans="1:13" x14ac:dyDescent="0.25">
      <c r="A41" s="212"/>
      <c r="B41" s="109" t="s">
        <v>163</v>
      </c>
      <c r="C41" s="159">
        <f t="shared" si="4"/>
        <v>893388.36</v>
      </c>
      <c r="D41" s="160">
        <f t="shared" ref="D41:M41" si="9">D12-D26</f>
        <v>0</v>
      </c>
      <c r="E41" s="161">
        <f t="shared" si="9"/>
        <v>893388.36</v>
      </c>
      <c r="F41" s="161">
        <f t="shared" si="9"/>
        <v>0</v>
      </c>
      <c r="G41" s="161">
        <f t="shared" si="9"/>
        <v>0</v>
      </c>
      <c r="H41" s="161">
        <f t="shared" si="9"/>
        <v>0</v>
      </c>
      <c r="I41" s="161">
        <f t="shared" si="9"/>
        <v>0</v>
      </c>
      <c r="J41" s="161">
        <f t="shared" si="9"/>
        <v>0</v>
      </c>
      <c r="K41" s="161">
        <f t="shared" si="9"/>
        <v>0</v>
      </c>
      <c r="L41" s="172">
        <f t="shared" si="9"/>
        <v>0</v>
      </c>
      <c r="M41" s="162">
        <f t="shared" si="9"/>
        <v>0</v>
      </c>
    </row>
    <row r="42" spans="1:13" x14ac:dyDescent="0.25">
      <c r="A42" s="212"/>
      <c r="B42" s="164" t="s">
        <v>164</v>
      </c>
      <c r="C42" s="165">
        <f t="shared" si="4"/>
        <v>59520</v>
      </c>
      <c r="D42" s="160">
        <f t="shared" ref="D42:M42" si="10">D13-D27</f>
        <v>0</v>
      </c>
      <c r="E42" s="161">
        <f t="shared" si="10"/>
        <v>9920</v>
      </c>
      <c r="F42" s="161">
        <f t="shared" si="10"/>
        <v>9920</v>
      </c>
      <c r="G42" s="161">
        <f t="shared" si="10"/>
        <v>9920</v>
      </c>
      <c r="H42" s="161">
        <f t="shared" si="10"/>
        <v>9920</v>
      </c>
      <c r="I42" s="161">
        <f t="shared" si="10"/>
        <v>9920</v>
      </c>
      <c r="J42" s="161">
        <f t="shared" si="10"/>
        <v>9920</v>
      </c>
      <c r="K42" s="161">
        <f t="shared" si="10"/>
        <v>0</v>
      </c>
      <c r="L42" s="172">
        <f t="shared" si="10"/>
        <v>0</v>
      </c>
      <c r="M42" s="162">
        <f t="shared" si="10"/>
        <v>0</v>
      </c>
    </row>
    <row r="43" spans="1:13" ht="15.75" thickBot="1" x14ac:dyDescent="0.3">
      <c r="A43" s="212"/>
      <c r="B43" s="109" t="s">
        <v>330</v>
      </c>
      <c r="C43" s="159">
        <f t="shared" si="4"/>
        <v>43400</v>
      </c>
      <c r="D43" s="160">
        <f t="shared" ref="D43:M43" si="11">D14</f>
        <v>1400</v>
      </c>
      <c r="E43" s="161">
        <f t="shared" si="11"/>
        <v>7000</v>
      </c>
      <c r="F43" s="161">
        <f t="shared" si="11"/>
        <v>7000</v>
      </c>
      <c r="G43" s="161">
        <f t="shared" si="11"/>
        <v>7000</v>
      </c>
      <c r="H43" s="161">
        <f t="shared" si="11"/>
        <v>7000</v>
      </c>
      <c r="I43" s="161">
        <f t="shared" si="11"/>
        <v>7000</v>
      </c>
      <c r="J43" s="161">
        <f t="shared" si="11"/>
        <v>7000</v>
      </c>
      <c r="K43" s="161">
        <f t="shared" si="11"/>
        <v>0</v>
      </c>
      <c r="L43" s="172">
        <f t="shared" si="11"/>
        <v>0</v>
      </c>
      <c r="M43" s="162">
        <f t="shared" si="11"/>
        <v>0</v>
      </c>
    </row>
    <row r="44" spans="1:13" ht="15.75" thickBot="1" x14ac:dyDescent="0.3">
      <c r="A44" s="213"/>
      <c r="B44" s="94" t="s">
        <v>104</v>
      </c>
      <c r="C44" s="166">
        <f>SUM(D44:M44)</f>
        <v>1060898.1200000001</v>
      </c>
      <c r="D44" s="167">
        <f>SUM(D36:D43)</f>
        <v>1400</v>
      </c>
      <c r="E44" s="168">
        <f t="shared" ref="E44:M44" si="12">SUM(E36:E42)</f>
        <v>1009898.12</v>
      </c>
      <c r="F44" s="168">
        <f t="shared" si="12"/>
        <v>9920</v>
      </c>
      <c r="G44" s="168">
        <f t="shared" si="12"/>
        <v>9920</v>
      </c>
      <c r="H44" s="168">
        <f t="shared" si="12"/>
        <v>9920</v>
      </c>
      <c r="I44" s="168">
        <f t="shared" si="12"/>
        <v>9920</v>
      </c>
      <c r="J44" s="168">
        <f t="shared" si="12"/>
        <v>9920</v>
      </c>
      <c r="K44" s="168">
        <f t="shared" si="12"/>
        <v>0</v>
      </c>
      <c r="L44" s="169">
        <f t="shared" si="12"/>
        <v>0</v>
      </c>
      <c r="M44" s="170">
        <f t="shared" si="12"/>
        <v>0</v>
      </c>
    </row>
  </sheetData>
  <mergeCells count="4">
    <mergeCell ref="D5:M5"/>
    <mergeCell ref="A18:C18"/>
    <mergeCell ref="D20:M20"/>
    <mergeCell ref="A32:C3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Úvod</vt:lpstr>
      <vt:lpstr>Zoznam hárkov</vt:lpstr>
      <vt:lpstr>Sumarizácia</vt:lpstr>
      <vt:lpstr>CBA - Agendové IS</vt:lpstr>
      <vt:lpstr>Analyza citlivosti - AgendovéIS</vt:lpstr>
      <vt:lpstr>Prínosy - Agendové IS</vt:lpstr>
      <vt:lpstr>Výdavky - Agendové IS</vt:lpstr>
      <vt:lpstr>Parametre - Agendové IS</vt:lpstr>
      <vt:lpstr>TCO</vt:lpstr>
      <vt:lpstr>TCO AS IS - SW</vt:lpstr>
      <vt:lpstr>TCO AS IS - HW</vt:lpstr>
      <vt:lpstr>TCO TO BE- SW</vt:lpstr>
      <vt:lpstr>TCO TO BE - HW</vt:lpstr>
      <vt:lpstr>Rozpočet - vývoj Aplikácií</vt:lpstr>
      <vt:lpstr>Rozpočet - HW a licencie</vt:lpstr>
      <vt:lpstr>Slepý rozpočet</vt:lpstr>
      <vt:lpstr>Faktory</vt:lpstr>
      <vt:lpstr>Procesné mapy</vt:lpstr>
      <vt:lpstr>Procesy - AS IS</vt:lpstr>
      <vt:lpstr>Procesy - TO BE</vt:lpstr>
      <vt:lpstr>Rozdelenie prínosov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Krok Martin</dc:creator>
  <cp:lastModifiedBy>Medveďová Milada Mgr.</cp:lastModifiedBy>
  <cp:lastPrinted>2018-08-24T09:21:09Z</cp:lastPrinted>
  <dcterms:created xsi:type="dcterms:W3CDTF">2015-01-29T13:50:20Z</dcterms:created>
  <dcterms:modified xsi:type="dcterms:W3CDTF">2020-05-20T06:09:57Z</dcterms:modified>
</cp:coreProperties>
</file>